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G:\Applications Department\Department Applications\Rates\2024 Electricity Rates\IRM\IRM Applications\Price Cap IR\Algoma\Final Decision and Model\Final\"/>
    </mc:Choice>
  </mc:AlternateContent>
  <xr:revisionPtr revIDLastSave="0" documentId="8_{8201DAF0-F6BD-4846-8E48-5DD4486FBD50}" xr6:coauthVersionLast="47" xr6:coauthVersionMax="47" xr10:uidLastSave="{00000000-0000-0000-0000-000000000000}"/>
  <bookViews>
    <workbookView xWindow="-120" yWindow="-120" windowWidth="29040" windowHeight="15720" tabRatio="847" firstSheet="1" activeTab="1" xr2:uid="{BCA7A719-312A-4980-8E75-18D0BA2F886D}"/>
  </bookViews>
  <sheets>
    <sheet name="Cover Sheet" sheetId="2" r:id="rId1"/>
    <sheet name="Rate Summary" sheetId="3" r:id="rId2"/>
    <sheet name="2020 COS Cost Allocation" sheetId="17" r:id="rId3"/>
    <sheet name="2020 COS Eq Rates and Revenue" sheetId="6" r:id="rId4"/>
    <sheet name="RRRP Rate Design" sheetId="10" r:id="rId5"/>
    <sheet name="Equiv Rates for ACM Model" sheetId="18" r:id="rId6"/>
    <sheet name="IRM Adjustment Factor" sheetId="4" r:id="rId7"/>
    <sheet name="Indexed Revenue" sheetId="7" r:id="rId8"/>
    <sheet name="Non-RRRP Rate Design" sheetId="13" r:id="rId9"/>
    <sheet name="Seasonal Decoupling" sheetId="16"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___xlnm.Print_Area" localSheetId="9">#REF!</definedName>
    <definedName name="____xlnm.Print_Area">#REF!</definedName>
    <definedName name="____xlnm.Print_Area_1" localSheetId="9">#REF!</definedName>
    <definedName name="____xlnm.Print_Area_1">#REF!</definedName>
    <definedName name="___INDEX_SHEET___ASAP_Utilities" localSheetId="9">#REF!</definedName>
    <definedName name="___INDEX_SHEET___ASAP_Utilities">#REF!</definedName>
    <definedName name="___xlnm.Print_Area" localSheetId="9">#REF!</definedName>
    <definedName name="___xlnm.Print_Area">#REF!</definedName>
    <definedName name="___xlnm.Print_Area_1" localSheetId="9">#REF!</definedName>
    <definedName name="___xlnm.Print_Area_1">#REF!</definedName>
    <definedName name="___xlnm.Print_Area_10" localSheetId="9">#REF!</definedName>
    <definedName name="___xlnm.Print_Area_10">#REF!</definedName>
    <definedName name="___xlnm.Print_Area_11" localSheetId="9">#REF!</definedName>
    <definedName name="___xlnm.Print_Area_11">#REF!</definedName>
    <definedName name="___xlnm.Print_Area_12" localSheetId="9">#REF!</definedName>
    <definedName name="___xlnm.Print_Area_12">#REF!</definedName>
    <definedName name="___xlnm.Print_Area_13" localSheetId="9">#REF!</definedName>
    <definedName name="___xlnm.Print_Area_13">#REF!</definedName>
    <definedName name="___xlnm.Print_Area_14" localSheetId="9">#REF!</definedName>
    <definedName name="___xlnm.Print_Area_14">#REF!</definedName>
    <definedName name="___xlnm.Print_Area_15" localSheetId="9">#REF!</definedName>
    <definedName name="___xlnm.Print_Area_15">#REF!</definedName>
    <definedName name="___xlnm.Print_Area_16" localSheetId="9">#REF!</definedName>
    <definedName name="___xlnm.Print_Area_16">#REF!</definedName>
    <definedName name="___xlnm.Print_Area_17" localSheetId="9">#REF!</definedName>
    <definedName name="___xlnm.Print_Area_17">#REF!</definedName>
    <definedName name="___xlnm.Print_Area_18" localSheetId="9">#REF!</definedName>
    <definedName name="___xlnm.Print_Area_18">#REF!</definedName>
    <definedName name="___xlnm.Print_Area_19" localSheetId="9">#REF!</definedName>
    <definedName name="___xlnm.Print_Area_19">#REF!</definedName>
    <definedName name="___xlnm.Print_Area_2" localSheetId="9">#REF!</definedName>
    <definedName name="___xlnm.Print_Area_2">#REF!</definedName>
    <definedName name="___xlnm.Print_Area_20" localSheetId="9">#REF!</definedName>
    <definedName name="___xlnm.Print_Area_20">#REF!</definedName>
    <definedName name="___xlnm.Print_Area_21" localSheetId="9">#REF!</definedName>
    <definedName name="___xlnm.Print_Area_21">#REF!</definedName>
    <definedName name="___xlnm.Print_Area_22" localSheetId="9">#REF!</definedName>
    <definedName name="___xlnm.Print_Area_22">#REF!</definedName>
    <definedName name="___xlnm.Print_Area_23" localSheetId="9">#REF!</definedName>
    <definedName name="___xlnm.Print_Area_23">#REF!</definedName>
    <definedName name="___xlnm.Print_Area_24" localSheetId="9">#REF!</definedName>
    <definedName name="___xlnm.Print_Area_24">#REF!</definedName>
    <definedName name="___xlnm.Print_Area_25" localSheetId="9">#REF!</definedName>
    <definedName name="___xlnm.Print_Area_25">#REF!</definedName>
    <definedName name="___xlnm.Print_Area_26" localSheetId="9">#REF!</definedName>
    <definedName name="___xlnm.Print_Area_26">#REF!</definedName>
    <definedName name="___xlnm.Print_Area_27" localSheetId="9">#REF!</definedName>
    <definedName name="___xlnm.Print_Area_27">#REF!</definedName>
    <definedName name="___xlnm.Print_Area_28" localSheetId="9">#REF!</definedName>
    <definedName name="___xlnm.Print_Area_28">#REF!</definedName>
    <definedName name="___xlnm.Print_Area_29" localSheetId="9">#REF!</definedName>
    <definedName name="___xlnm.Print_Area_29">#REF!</definedName>
    <definedName name="___xlnm.Print_Area_3" localSheetId="9">#REF!</definedName>
    <definedName name="___xlnm.Print_Area_3">#REF!</definedName>
    <definedName name="___xlnm.Print_Area_30" localSheetId="9">#REF!</definedName>
    <definedName name="___xlnm.Print_Area_30">#REF!</definedName>
    <definedName name="___xlnm.Print_Area_31" localSheetId="9">#REF!</definedName>
    <definedName name="___xlnm.Print_Area_31">#REF!</definedName>
    <definedName name="___xlnm.Print_Area_32" localSheetId="9">#REF!</definedName>
    <definedName name="___xlnm.Print_Area_32">#REF!</definedName>
    <definedName name="___xlnm.Print_Area_33" localSheetId="9">#REF!</definedName>
    <definedName name="___xlnm.Print_Area_33">#REF!</definedName>
    <definedName name="___xlnm.Print_Area_34" localSheetId="9">#REF!</definedName>
    <definedName name="___xlnm.Print_Area_34">#REF!</definedName>
    <definedName name="___xlnm.Print_Area_35" localSheetId="9">#REF!</definedName>
    <definedName name="___xlnm.Print_Area_35">#REF!</definedName>
    <definedName name="___xlnm.Print_Area_36" localSheetId="9">#REF!</definedName>
    <definedName name="___xlnm.Print_Area_36">#REF!</definedName>
    <definedName name="___xlnm.Print_Area_37" localSheetId="9">#REF!</definedName>
    <definedName name="___xlnm.Print_Area_37">#REF!</definedName>
    <definedName name="___xlnm.Print_Area_38" localSheetId="9">#REF!</definedName>
    <definedName name="___xlnm.Print_Area_38">#REF!</definedName>
    <definedName name="___xlnm.Print_Area_39" localSheetId="9">#REF!</definedName>
    <definedName name="___xlnm.Print_Area_39">#REF!</definedName>
    <definedName name="___xlnm.Print_Area_4" localSheetId="9">#REF!</definedName>
    <definedName name="___xlnm.Print_Area_4">#REF!</definedName>
    <definedName name="___xlnm.Print_Area_40" localSheetId="9">#REF!</definedName>
    <definedName name="___xlnm.Print_Area_40">#REF!</definedName>
    <definedName name="___xlnm.Print_Area_41" localSheetId="9">#REF!</definedName>
    <definedName name="___xlnm.Print_Area_41">#REF!</definedName>
    <definedName name="___xlnm.Print_Area_42" localSheetId="9">#REF!</definedName>
    <definedName name="___xlnm.Print_Area_42">#REF!</definedName>
    <definedName name="___xlnm.Print_Area_43" localSheetId="9">#REF!</definedName>
    <definedName name="___xlnm.Print_Area_43">#REF!</definedName>
    <definedName name="___xlnm.Print_Area_44" localSheetId="9">#REF!</definedName>
    <definedName name="___xlnm.Print_Area_44">#REF!</definedName>
    <definedName name="___xlnm.Print_Area_45" localSheetId="9">#REF!</definedName>
    <definedName name="___xlnm.Print_Area_45">#REF!</definedName>
    <definedName name="___xlnm.Print_Area_46" localSheetId="9">#REF!</definedName>
    <definedName name="___xlnm.Print_Area_46">#REF!</definedName>
    <definedName name="___xlnm.Print_Area_47" localSheetId="9">#REF!</definedName>
    <definedName name="___xlnm.Print_Area_47">#REF!</definedName>
    <definedName name="___xlnm.Print_Area_48" localSheetId="9">#REF!</definedName>
    <definedName name="___xlnm.Print_Area_48">#REF!</definedName>
    <definedName name="___xlnm.Print_Area_49" localSheetId="9">#REF!</definedName>
    <definedName name="___xlnm.Print_Area_49">#REF!</definedName>
    <definedName name="___xlnm.Print_Area_5" localSheetId="9">#REF!</definedName>
    <definedName name="___xlnm.Print_Area_5">#REF!</definedName>
    <definedName name="___xlnm.Print_Area_6" localSheetId="9">#REF!</definedName>
    <definedName name="___xlnm.Print_Area_6">#REF!</definedName>
    <definedName name="___xlnm.Print_Area_7" localSheetId="9">#REF!</definedName>
    <definedName name="___xlnm.Print_Area_7">#REF!</definedName>
    <definedName name="___xlnm.Print_Area_8" localSheetId="9">#REF!</definedName>
    <definedName name="___xlnm.Print_Area_8">#REF!</definedName>
    <definedName name="___xlnm.Print_Area_9" localSheetId="9">#REF!</definedName>
    <definedName name="___xlnm.Print_Area_9">#REF!</definedName>
    <definedName name="__xlnm._FilterDatabase" localSheetId="9">#REF!</definedName>
    <definedName name="__xlnm._FilterDatabase">#REF!</definedName>
    <definedName name="__xlnm._FilterDatabase_1" localSheetId="9">#REF!</definedName>
    <definedName name="__xlnm._FilterDatabase_1">#REF!</definedName>
    <definedName name="__xlnm.Extract">"#N/A"</definedName>
    <definedName name="__xlnm.Print_Area" localSheetId="9">#REF!</definedName>
    <definedName name="__xlnm.Print_Area">#REF!</definedName>
    <definedName name="__xlnm.Print_Area_1">#N/A</definedName>
    <definedName name="__xlnm.Print_Area_1_1">#N/A</definedName>
    <definedName name="__xlnm.Print_Area_1_2">#N/A</definedName>
    <definedName name="__xlnm.Print_Area_1_3">#N/A</definedName>
    <definedName name="__xlnm.Print_Area_1_4">#N/A</definedName>
    <definedName name="__xlnm.Print_Area_1_5">#N/A</definedName>
    <definedName name="__xlnm.Print_Area_10" localSheetId="9">#REF!</definedName>
    <definedName name="__xlnm.Print_Area_10">#REF!</definedName>
    <definedName name="__xlnm.Print_Area_11" localSheetId="9">#REF!</definedName>
    <definedName name="__xlnm.Print_Area_11">#REF!</definedName>
    <definedName name="__xlnm.Print_Area_12" localSheetId="9">#REF!</definedName>
    <definedName name="__xlnm.Print_Area_12">#REF!</definedName>
    <definedName name="__xlnm.Print_Area_13" localSheetId="9">#REF!</definedName>
    <definedName name="__xlnm.Print_Area_13">#REF!</definedName>
    <definedName name="__xlnm.Print_Area_14" localSheetId="9">#REF!</definedName>
    <definedName name="__xlnm.Print_Area_14">#REF!</definedName>
    <definedName name="__xlnm.Print_Area_15" localSheetId="9">#REF!</definedName>
    <definedName name="__xlnm.Print_Area_15">#REF!</definedName>
    <definedName name="__xlnm.Print_Area_16" localSheetId="9">#REF!</definedName>
    <definedName name="__xlnm.Print_Area_16">#REF!</definedName>
    <definedName name="__xlnm.Print_Area_17" localSheetId="9">#REF!</definedName>
    <definedName name="__xlnm.Print_Area_17">#REF!</definedName>
    <definedName name="__xlnm.Print_Area_18" localSheetId="9">#REF!</definedName>
    <definedName name="__xlnm.Print_Area_18">#REF!</definedName>
    <definedName name="__xlnm.Print_Area_19" localSheetId="9">#REF!</definedName>
    <definedName name="__xlnm.Print_Area_19">#REF!</definedName>
    <definedName name="__xlnm.Print_Area_2" localSheetId="9">#REF!</definedName>
    <definedName name="__xlnm.Print_Area_2">#REF!</definedName>
    <definedName name="__xlnm.Print_Area_2_1" localSheetId="9">#REF!</definedName>
    <definedName name="__xlnm.Print_Area_2_1">#REF!</definedName>
    <definedName name="__xlnm.Print_Area_2_2" localSheetId="9">#REF!</definedName>
    <definedName name="__xlnm.Print_Area_2_2">#REF!</definedName>
    <definedName name="__xlnm.Print_Area_2_3" localSheetId="9">#REF!</definedName>
    <definedName name="__xlnm.Print_Area_2_3">#REF!</definedName>
    <definedName name="__xlnm.Print_Area_2_4" localSheetId="9">#REF!</definedName>
    <definedName name="__xlnm.Print_Area_2_4">#REF!</definedName>
    <definedName name="__xlnm.Print_Area_2_5" localSheetId="9">#REF!</definedName>
    <definedName name="__xlnm.Print_Area_2_5">#REF!</definedName>
    <definedName name="__xlnm.Print_Area_2_6" localSheetId="9">#REF!</definedName>
    <definedName name="__xlnm.Print_Area_2_6">#REF!</definedName>
    <definedName name="__xlnm.Print_Area_20" localSheetId="9">#REF!</definedName>
    <definedName name="__xlnm.Print_Area_20">#REF!</definedName>
    <definedName name="__xlnm.Print_Area_21" localSheetId="9">#REF!</definedName>
    <definedName name="__xlnm.Print_Area_21">#REF!</definedName>
    <definedName name="__xlnm.Print_Area_21_1" localSheetId="9">#REF!</definedName>
    <definedName name="__xlnm.Print_Area_21_1">#REF!</definedName>
    <definedName name="__xlnm.Print_Area_21_2" localSheetId="9">#REF!</definedName>
    <definedName name="__xlnm.Print_Area_21_2">#REF!</definedName>
    <definedName name="__xlnm.Print_Area_21_3" localSheetId="9">#REF!</definedName>
    <definedName name="__xlnm.Print_Area_21_3">#REF!</definedName>
    <definedName name="__xlnm.Print_Area_22" localSheetId="9">#REF!</definedName>
    <definedName name="__xlnm.Print_Area_22">#REF!</definedName>
    <definedName name="__xlnm.Print_Area_23" localSheetId="9">#REF!</definedName>
    <definedName name="__xlnm.Print_Area_23">#REF!</definedName>
    <definedName name="__xlnm.Print_Area_24" localSheetId="9">#REF!</definedName>
    <definedName name="__xlnm.Print_Area_24">#REF!</definedName>
    <definedName name="__xlnm.Print_Area_24_1" localSheetId="9">#REF!</definedName>
    <definedName name="__xlnm.Print_Area_24_1">#REF!</definedName>
    <definedName name="__xlnm.Print_Area_24_2" localSheetId="9">#REF!</definedName>
    <definedName name="__xlnm.Print_Area_24_2">#REF!</definedName>
    <definedName name="__xlnm.Print_Area_25" localSheetId="9">#REF!</definedName>
    <definedName name="__xlnm.Print_Area_25">#REF!</definedName>
    <definedName name="__xlnm.Print_Area_26" localSheetId="9">#REF!</definedName>
    <definedName name="__xlnm.Print_Area_26">#REF!</definedName>
    <definedName name="__xlnm.Print_Area_27" localSheetId="9">#REF!</definedName>
    <definedName name="__xlnm.Print_Area_27">#REF!</definedName>
    <definedName name="__xlnm.Print_Area_28" localSheetId="9">#REF!</definedName>
    <definedName name="__xlnm.Print_Area_28">#REF!</definedName>
    <definedName name="__xlnm.Print_Area_29" localSheetId="9">#REF!</definedName>
    <definedName name="__xlnm.Print_Area_29">#REF!</definedName>
    <definedName name="__xlnm.Print_Area_3" localSheetId="9">#REF!</definedName>
    <definedName name="__xlnm.Print_Area_3">#REF!</definedName>
    <definedName name="__xlnm.Print_Area_30" localSheetId="9">#REF!</definedName>
    <definedName name="__xlnm.Print_Area_30">#REF!</definedName>
    <definedName name="__xlnm.Print_Area_31" localSheetId="9">#REF!</definedName>
    <definedName name="__xlnm.Print_Area_31">#REF!</definedName>
    <definedName name="__xlnm.Print_Area_32" localSheetId="9">#REF!</definedName>
    <definedName name="__xlnm.Print_Area_32">#REF!</definedName>
    <definedName name="__xlnm.Print_Area_33" localSheetId="9">#REF!</definedName>
    <definedName name="__xlnm.Print_Area_33">#REF!</definedName>
    <definedName name="__xlnm.Print_Area_34" localSheetId="9">#REF!</definedName>
    <definedName name="__xlnm.Print_Area_34">#REF!</definedName>
    <definedName name="__xlnm.Print_Area_35" localSheetId="9">#REF!</definedName>
    <definedName name="__xlnm.Print_Area_35">#REF!</definedName>
    <definedName name="__xlnm.Print_Area_36" localSheetId="9">#REF!</definedName>
    <definedName name="__xlnm.Print_Area_36">#REF!</definedName>
    <definedName name="__xlnm.Print_Area_37" localSheetId="9">#REF!</definedName>
    <definedName name="__xlnm.Print_Area_37">#REF!</definedName>
    <definedName name="__xlnm.Print_Area_38" localSheetId="9">#REF!</definedName>
    <definedName name="__xlnm.Print_Area_38">#REF!</definedName>
    <definedName name="__xlnm.Print_Area_39" localSheetId="9">#REF!</definedName>
    <definedName name="__xlnm.Print_Area_39">#REF!</definedName>
    <definedName name="__xlnm.Print_Area_4" localSheetId="9">#REF!</definedName>
    <definedName name="__xlnm.Print_Area_4">#REF!</definedName>
    <definedName name="__xlnm.Print_Area_41" localSheetId="9">#REF!</definedName>
    <definedName name="__xlnm.Print_Area_41">#REF!</definedName>
    <definedName name="__xlnm.Print_Area_42" localSheetId="9">#REF!</definedName>
    <definedName name="__xlnm.Print_Area_42">#REF!</definedName>
    <definedName name="__xlnm.Print_Area_43" localSheetId="9">#REF!</definedName>
    <definedName name="__xlnm.Print_Area_43">#REF!</definedName>
    <definedName name="__xlnm.Print_Area_44" localSheetId="9">#REF!</definedName>
    <definedName name="__xlnm.Print_Area_44">#REF!</definedName>
    <definedName name="__xlnm.Print_Area_45" localSheetId="9">#REF!</definedName>
    <definedName name="__xlnm.Print_Area_45">#REF!</definedName>
    <definedName name="__xlnm.Print_Area_46" localSheetId="9">#REF!</definedName>
    <definedName name="__xlnm.Print_Area_46">#REF!</definedName>
    <definedName name="__xlnm.Print_Area_46_1" localSheetId="9">#REF!</definedName>
    <definedName name="__xlnm.Print_Area_46_1">#REF!</definedName>
    <definedName name="__xlnm.Print_Area_46_2" localSheetId="9">#REF!</definedName>
    <definedName name="__xlnm.Print_Area_46_2">#REF!</definedName>
    <definedName name="__xlnm.Print_Area_46_3" localSheetId="9">#REF!</definedName>
    <definedName name="__xlnm.Print_Area_46_3">#REF!</definedName>
    <definedName name="__xlnm.Print_Area_46_4" localSheetId="9">#REF!</definedName>
    <definedName name="__xlnm.Print_Area_46_4">#REF!</definedName>
    <definedName name="__xlnm.Print_Area_46_5" localSheetId="9">#REF!</definedName>
    <definedName name="__xlnm.Print_Area_46_5">#REF!</definedName>
    <definedName name="__xlnm.Print_Area_46_6" localSheetId="9">#REF!</definedName>
    <definedName name="__xlnm.Print_Area_46_6">#REF!</definedName>
    <definedName name="__xlnm.Print_Area_46_7" localSheetId="9">#REF!</definedName>
    <definedName name="__xlnm.Print_Area_46_7">#REF!</definedName>
    <definedName name="__xlnm.Print_Area_46_8" localSheetId="9">#REF!</definedName>
    <definedName name="__xlnm.Print_Area_46_8">#REF!</definedName>
    <definedName name="__xlnm.Print_Area_46_9" localSheetId="9">#REF!</definedName>
    <definedName name="__xlnm.Print_Area_46_9">#REF!</definedName>
    <definedName name="__xlnm.Print_Area_47">"#REF!"</definedName>
    <definedName name="__xlnm.Print_Area_49" localSheetId="9">#REF!</definedName>
    <definedName name="__xlnm.Print_Area_49">#REF!</definedName>
    <definedName name="__xlnm.Print_Area_5" localSheetId="9">#REF!</definedName>
    <definedName name="__xlnm.Print_Area_5">#REF!</definedName>
    <definedName name="__xlnm.Print_Area_51" localSheetId="9">#REF!</definedName>
    <definedName name="__xlnm.Print_Area_51">#REF!</definedName>
    <definedName name="__xlnm.Print_Area_52" localSheetId="9">#REF!</definedName>
    <definedName name="__xlnm.Print_Area_52">#REF!</definedName>
    <definedName name="__xlnm.Print_Area_53" localSheetId="9">#REF!</definedName>
    <definedName name="__xlnm.Print_Area_53">#REF!</definedName>
    <definedName name="__xlnm.Print_Area_54" localSheetId="9">#REF!</definedName>
    <definedName name="__xlnm.Print_Area_54">#REF!</definedName>
    <definedName name="__xlnm.Print_Area_55" localSheetId="9">#REF!</definedName>
    <definedName name="__xlnm.Print_Area_55">#REF!</definedName>
    <definedName name="__xlnm.Print_Area_56" localSheetId="9">#REF!</definedName>
    <definedName name="__xlnm.Print_Area_56">#REF!</definedName>
    <definedName name="__xlnm.Print_Area_57" localSheetId="9">#REF!</definedName>
    <definedName name="__xlnm.Print_Area_57">#REF!</definedName>
    <definedName name="__xlnm.Print_Area_58" localSheetId="9">#REF!</definedName>
    <definedName name="__xlnm.Print_Area_58">#REF!</definedName>
    <definedName name="__xlnm.Print_Area_59" localSheetId="9">#REF!</definedName>
    <definedName name="__xlnm.Print_Area_59">#REF!</definedName>
    <definedName name="__xlnm.Print_Area_6" localSheetId="9">#REF!</definedName>
    <definedName name="__xlnm.Print_Area_6">#REF!</definedName>
    <definedName name="__xlnm.Print_Area_60" localSheetId="9">#REF!</definedName>
    <definedName name="__xlnm.Print_Area_60">#REF!</definedName>
    <definedName name="__xlnm.Print_Area_61" localSheetId="9">#REF!</definedName>
    <definedName name="__xlnm.Print_Area_61">#REF!</definedName>
    <definedName name="__xlnm.Print_Area_62" localSheetId="9">#REF!</definedName>
    <definedName name="__xlnm.Print_Area_62">#REF!</definedName>
    <definedName name="__xlnm.Print_Area_63" localSheetId="9">#REF!</definedName>
    <definedName name="__xlnm.Print_Area_63">#REF!</definedName>
    <definedName name="__xlnm.Print_Area_64" localSheetId="9">#REF!</definedName>
    <definedName name="__xlnm.Print_Area_64">#REF!</definedName>
    <definedName name="__xlnm.Print_Area_65" localSheetId="9">#REF!</definedName>
    <definedName name="__xlnm.Print_Area_65">#REF!</definedName>
    <definedName name="__xlnm.Print_Area_66" localSheetId="9">#REF!</definedName>
    <definedName name="__xlnm.Print_Area_66">#REF!</definedName>
    <definedName name="__xlnm.Print_Area_67" localSheetId="9">#REF!</definedName>
    <definedName name="__xlnm.Print_Area_67">#REF!</definedName>
    <definedName name="__xlnm.Print_Area_68" localSheetId="9">#REF!</definedName>
    <definedName name="__xlnm.Print_Area_68">#REF!</definedName>
    <definedName name="__xlnm.Print_Area_69" localSheetId="9">#REF!</definedName>
    <definedName name="__xlnm.Print_Area_69">#REF!</definedName>
    <definedName name="__xlnm.Print_Area_7" localSheetId="9">#REF!</definedName>
    <definedName name="__xlnm.Print_Area_7">#REF!</definedName>
    <definedName name="__xlnm.Print_Area_71" localSheetId="9">#REF!</definedName>
    <definedName name="__xlnm.Print_Area_71">#REF!</definedName>
    <definedName name="__xlnm.Print_Area_72" localSheetId="9">#REF!</definedName>
    <definedName name="__xlnm.Print_Area_72">#REF!</definedName>
    <definedName name="__xlnm.Print_Area_73" localSheetId="9">#REF!</definedName>
    <definedName name="__xlnm.Print_Area_73">#REF!</definedName>
    <definedName name="__xlnm.Print_Area_74" localSheetId="9">#REF!</definedName>
    <definedName name="__xlnm.Print_Area_74">#REF!</definedName>
    <definedName name="__xlnm.Print_Area_76" localSheetId="9">#REF!</definedName>
    <definedName name="__xlnm.Print_Area_76">#REF!</definedName>
    <definedName name="__xlnm.Print_Area_77">#N/A</definedName>
    <definedName name="__xlnm.Print_Area_78" localSheetId="9">#REF!</definedName>
    <definedName name="__xlnm.Print_Area_78">#REF!</definedName>
    <definedName name="__xlnm.Print_Area_79" localSheetId="9">#REF!</definedName>
    <definedName name="__xlnm.Print_Area_79">#REF!</definedName>
    <definedName name="__xlnm.Print_Area_8" localSheetId="9">#REF!</definedName>
    <definedName name="__xlnm.Print_Area_8">#REF!</definedName>
    <definedName name="__xlnm.Print_Area_80" localSheetId="9">#REF!</definedName>
    <definedName name="__xlnm.Print_Area_80">#REF!</definedName>
    <definedName name="__xlnm.Print_Area_81" localSheetId="9">#REF!</definedName>
    <definedName name="__xlnm.Print_Area_81">#REF!</definedName>
    <definedName name="__xlnm.Print_Area_9" localSheetId="9">#REF!</definedName>
    <definedName name="__xlnm.Print_Area_9">#REF!</definedName>
    <definedName name="__xlnm.Print_Titles" localSheetId="9">#REF!</definedName>
    <definedName name="__xlnm.Print_Titles">#REF!</definedName>
    <definedName name="__xlnm.Print_Titles_1" localSheetId="9">#REF!</definedName>
    <definedName name="__xlnm.Print_Titles_1">#REF!</definedName>
    <definedName name="__xlnm.Print_Titles_2" localSheetId="9">#REF!</definedName>
    <definedName name="__xlnm.Print_Titles_2">#REF!</definedName>
    <definedName name="_ftn1">"#N/A"</definedName>
    <definedName name="_ftnref1">"#N/A"</definedName>
    <definedName name="_Parse_Out" localSheetId="9" hidden="1">#REF!</definedName>
    <definedName name="_Parse_Out" hidden="1">#REF!</definedName>
    <definedName name="ApprovedYr">'[1]Z1.ModelVariables'!$C$12</definedName>
    <definedName name="AS2DocOpenMode" hidden="1">"AS2DocumentEdit"</definedName>
    <definedName name="BI_LDCLIST">'[2]3. Rate Class Selection'!$B$19:$B$21</definedName>
    <definedName name="Bridge_Year">#REF!</definedName>
    <definedName name="BridgeYear">'[3]LDC Info'!$E$26</definedName>
    <definedName name="contactf" localSheetId="9">#REF!</definedName>
    <definedName name="contactf">#REF!</definedName>
    <definedName name="CRLF">'[1]Z1.ModelVariables'!$C$10</definedName>
    <definedName name="CustomerAdministration">[4]lists!$Z$1:$Z$36</definedName>
    <definedName name="EBCaseNumber">"#N/A"</definedName>
    <definedName name="EBNUMBER">'[5]LDC Info'!$E$16</definedName>
    <definedName name="Fixed_Charges">[4]lists!$I$1:$I$212</definedName>
    <definedName name="histdate">[6]Financials!$E$76</definedName>
    <definedName name="holidays">#N/A</definedName>
    <definedName name="Incr2000" localSheetId="9">#REF!</definedName>
    <definedName name="Incr2000">#REF!</definedName>
    <definedName name="Index_Sheet_Kutools" localSheetId="9">#REF!</definedName>
    <definedName name="Index_Sheet_Kutools">#REF!</definedName>
    <definedName name="infra">"#REF!"</definedName>
    <definedName name="IRMWG">"#N/A"</definedName>
    <definedName name="IRMWG_1">"#N/A"</definedName>
    <definedName name="Last_Rebasing_Year">#REF!</definedName>
    <definedName name="LDC_LIST">[7]lists!$AM$1:$AM$80</definedName>
    <definedName name="LDC_LIST_1" localSheetId="9">#REF!</definedName>
    <definedName name="LDC_LIST_1">#REF!</definedName>
    <definedName name="LDC_LIST_2">[8]lists!$AM$1:$AM$80</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[4]lists!$AL$1:$AL$78</definedName>
    <definedName name="LIMIT" localSheetId="9">#REF!</definedName>
    <definedName name="LIMIT">#REF!</definedName>
    <definedName name="LossFactors">[4]lists!$L$2:$L$15</definedName>
    <definedName name="man_beg_bud" localSheetId="9">#REF!</definedName>
    <definedName name="man_beg_bud">#REF!</definedName>
    <definedName name="man_end_bud" localSheetId="9">#REF!</definedName>
    <definedName name="man_end_bud">#REF!</definedName>
    <definedName name="man12ACT" localSheetId="9">#REF!</definedName>
    <definedName name="man12ACT">#REF!</definedName>
    <definedName name="MANBUD" localSheetId="9">#REF!</definedName>
    <definedName name="MANBUD">#REF!</definedName>
    <definedName name="manCYACT" localSheetId="9">#REF!</definedName>
    <definedName name="manCYACT">#REF!</definedName>
    <definedName name="manCYBUD" localSheetId="9">#REF!</definedName>
    <definedName name="manCYBUD">#REF!</definedName>
    <definedName name="manCYF" localSheetId="9">#REF!</definedName>
    <definedName name="manCYF">#REF!</definedName>
    <definedName name="MANEND" localSheetId="9">#REF!</definedName>
    <definedName name="MANEND">#REF!</definedName>
    <definedName name="manNYbud" localSheetId="9">#REF!</definedName>
    <definedName name="manNYbud">#REF!</definedName>
    <definedName name="manpower_costs" localSheetId="9">#REF!</definedName>
    <definedName name="manpower_costs">#REF!</definedName>
    <definedName name="manPYACT" localSheetId="9">#REF!</definedName>
    <definedName name="manPYACT">#REF!</definedName>
    <definedName name="MANSTART" localSheetId="9">#REF!</definedName>
    <definedName name="MANSTART">#REF!</definedName>
    <definedName name="mat_beg_bud" localSheetId="9">#REF!</definedName>
    <definedName name="mat_beg_bud">#REF!</definedName>
    <definedName name="mat_end_bud" localSheetId="9">#REF!</definedName>
    <definedName name="mat_end_bud">#REF!</definedName>
    <definedName name="mat12ACT" localSheetId="9">#REF!</definedName>
    <definedName name="mat12ACT">#REF!</definedName>
    <definedName name="MATBUD" localSheetId="9">#REF!</definedName>
    <definedName name="MATBUD">#REF!</definedName>
    <definedName name="matCYACT" localSheetId="9">#REF!</definedName>
    <definedName name="matCYACT">#REF!</definedName>
    <definedName name="matCYBUD" localSheetId="9">#REF!</definedName>
    <definedName name="matCYBUD">#REF!</definedName>
    <definedName name="matCYF" localSheetId="9">#REF!</definedName>
    <definedName name="matCYF">#REF!</definedName>
    <definedName name="MATEND" localSheetId="9">#REF!</definedName>
    <definedName name="MATEND">#REF!</definedName>
    <definedName name="material_costs" localSheetId="9">#REF!</definedName>
    <definedName name="material_costs">#REF!</definedName>
    <definedName name="matNYbud" localSheetId="9">#REF!</definedName>
    <definedName name="matNYbud">#REF!</definedName>
    <definedName name="matPYACT" localSheetId="9">#REF!</definedName>
    <definedName name="matPYACT">#REF!</definedName>
    <definedName name="MATSTART" localSheetId="9">#REF!</definedName>
    <definedName name="MATSTART">#REF!</definedName>
    <definedName name="NonPayment">[4]lists!$AA$1:$AA$71</definedName>
    <definedName name="OLE_LINK1">"#REF!"</definedName>
    <definedName name="OLE_LINK7">"#REF!"</definedName>
    <definedName name="oth_beg_bud" localSheetId="9">#REF!</definedName>
    <definedName name="oth_beg_bud">#REF!</definedName>
    <definedName name="oth_end_bud" localSheetId="9">#REF!</definedName>
    <definedName name="oth_end_bud">#REF!</definedName>
    <definedName name="oth12ACT" localSheetId="9">#REF!</definedName>
    <definedName name="oth12ACT">#REF!</definedName>
    <definedName name="othCYACT" localSheetId="9">#REF!</definedName>
    <definedName name="othCYACT">#REF!</definedName>
    <definedName name="othCYBUD" localSheetId="9">#REF!</definedName>
    <definedName name="othCYBUD">#REF!</definedName>
    <definedName name="othCYF" localSheetId="9">#REF!</definedName>
    <definedName name="othCYF">#REF!</definedName>
    <definedName name="OTHEND" localSheetId="9">#REF!</definedName>
    <definedName name="OTHEND">#REF!</definedName>
    <definedName name="other_costs" localSheetId="9">#REF!</definedName>
    <definedName name="other_costs">#REF!</definedName>
    <definedName name="OTHERBUD" localSheetId="9">#REF!</definedName>
    <definedName name="OTHERBUD">#REF!</definedName>
    <definedName name="othNYbud" localSheetId="9">#REF!</definedName>
    <definedName name="othNYbud">#REF!</definedName>
    <definedName name="othPYACT" localSheetId="9">#REF!</definedName>
    <definedName name="othPYACT">#REF!</definedName>
    <definedName name="OTHSTART" localSheetId="9">#REF!</definedName>
    <definedName name="OTHSTART">#REF!</definedName>
    <definedName name="print_end" localSheetId="9">#REF!</definedName>
    <definedName name="print_end">#REF!</definedName>
    <definedName name="Rate_Class">[4]lists!$A$2:$A$105</definedName>
    <definedName name="RATE_CLASSES">[4]lists!$A$1:$A$104</definedName>
    <definedName name="ratedescription">[9]hidden1!$D$1:$D$122</definedName>
    <definedName name="RebaseYear">'[10]LDC Info'!$E$28</definedName>
    <definedName name="RebaseYear_1">'[11]LDC Info'!$E$24</definedName>
    <definedName name="RMpilsVer">'[12]Z1.ModelVariables'!$C$13</definedName>
    <definedName name="RMversion">'[13]Z1.ModelVariables'!$C$13</definedName>
    <definedName name="SALBENF" localSheetId="9">#REF!</definedName>
    <definedName name="SALBENF">#REF!</definedName>
    <definedName name="salreg" localSheetId="9">#REF!</definedName>
    <definedName name="salreg">#REF!</definedName>
    <definedName name="SALREGF" localSheetId="9">#REF!</definedName>
    <definedName name="SALREGF">#REF!</definedName>
    <definedName name="sdfvgsdfsf" localSheetId="9">#REF!</definedName>
    <definedName name="sdfvgsdfsf">#REF!</definedName>
    <definedName name="Start_12" localSheetId="9">#REF!</definedName>
    <definedName name="Start_12">#REF!</definedName>
    <definedName name="Start_5" localSheetId="9">#REF!</definedName>
    <definedName name="Start_5">#REF!</definedName>
    <definedName name="TEMPA" localSheetId="9">#REF!</definedName>
    <definedName name="TEMPA">#REF!</definedName>
    <definedName name="Test_Year">#REF!</definedName>
    <definedName name="TestYear">'[3]LDC Info'!$E$24</definedName>
    <definedName name="TestYr">'[12]P0.Admin'!$C$13</definedName>
    <definedName name="total_dept" localSheetId="9">#REF!</definedName>
    <definedName name="total_dept">#REF!</definedName>
    <definedName name="total_manpower" localSheetId="9">#REF!</definedName>
    <definedName name="total_manpower">#REF!</definedName>
    <definedName name="total_material" localSheetId="9">#REF!</definedName>
    <definedName name="total_material">#REF!</definedName>
    <definedName name="total_other" localSheetId="9">#REF!</definedName>
    <definedName name="total_other">#REF!</definedName>
    <definedName name="total_transportation" localSheetId="9">#REF!</definedName>
    <definedName name="total_transportation">#REF!</definedName>
    <definedName name="TRANBUD" localSheetId="9">#REF!</definedName>
    <definedName name="TRANBUD">#REF!</definedName>
    <definedName name="TRANEND" localSheetId="9">#REF!</definedName>
    <definedName name="TRANEND">#REF!</definedName>
    <definedName name="transportation_costs" localSheetId="9">#REF!</definedName>
    <definedName name="transportation_costs">#REF!</definedName>
    <definedName name="TRANSTART" localSheetId="9">#REF!</definedName>
    <definedName name="TRANSTART">#REF!</definedName>
    <definedName name="trn_beg_bud" localSheetId="9">#REF!</definedName>
    <definedName name="trn_beg_bud">#REF!</definedName>
    <definedName name="trn_end_bud" localSheetId="9">#REF!</definedName>
    <definedName name="trn_end_bud">#REF!</definedName>
    <definedName name="trn12ACT" localSheetId="9">#REF!</definedName>
    <definedName name="trn12ACT">#REF!</definedName>
    <definedName name="trnCYACT" localSheetId="9">#REF!</definedName>
    <definedName name="trnCYACT">#REF!</definedName>
    <definedName name="trnCYBUD" localSheetId="9">#REF!</definedName>
    <definedName name="trnCYBUD">#REF!</definedName>
    <definedName name="trnCYF" localSheetId="9">#REF!</definedName>
    <definedName name="trnCYF">#REF!</definedName>
    <definedName name="trnNYbud" localSheetId="9">#REF!</definedName>
    <definedName name="trnNYbud">#REF!</definedName>
    <definedName name="trnPYACT" localSheetId="9">#REF!</definedName>
    <definedName name="trnPYACT">#REF!</definedName>
    <definedName name="Units">[4]lists!$N$2:$N$5</definedName>
    <definedName name="Units1">[4]lists!$O$2:$O$4</definedName>
    <definedName name="Units2">[4]lists!$P$2:$P$3</definedName>
    <definedName name="Utility">[6]Financials!$A$1</definedName>
    <definedName name="utitliy1">[14]Financials!$A$1</definedName>
    <definedName name="valuevx">42.314159</definedName>
    <definedName name="WAGBENF" localSheetId="9">#REF!</definedName>
    <definedName name="WAGBENF">#REF!</definedName>
    <definedName name="wagdob" localSheetId="9">#REF!</definedName>
    <definedName name="wagdob">#REF!</definedName>
    <definedName name="wagdobf" localSheetId="9">#REF!</definedName>
    <definedName name="wagdobf">#REF!</definedName>
    <definedName name="wagreg" localSheetId="9">#REF!</definedName>
    <definedName name="wagreg">#REF!</definedName>
    <definedName name="wagregf" localSheetId="9">#REF!</definedName>
    <definedName name="wagregf">#REF!</definedName>
    <definedName name="Z_258F368B_AF27_44ED_A772_A0C4A2AFB945_.wvu.Cols" localSheetId="9">#REF!</definedName>
    <definedName name="Z_258F368B_AF27_44ED_A772_A0C4A2AFB945_.wvu.Cols">#REF!</definedName>
    <definedName name="Z_258F368B_AF27_44ED_A772_A0C4A2AFB945_.wvu.Cols_1" localSheetId="9">#REF!</definedName>
    <definedName name="Z_258F368B_AF27_44ED_A772_A0C4A2AFB945_.wvu.Cols_1">#REF!</definedName>
    <definedName name="Z_258F368B_AF27_44ED_A772_A0C4A2AFB945_.wvu.Cols_2">#N/A</definedName>
    <definedName name="Z_258F368B_AF27_44ED_A772_A0C4A2AFB945_.wvu.FilterData" localSheetId="9">#REF!</definedName>
    <definedName name="Z_258F368B_AF27_44ED_A772_A0C4A2AFB945_.wvu.FilterData">#REF!</definedName>
    <definedName name="Z_258F368B_AF27_44ED_A772_A0C4A2AFB945_.wvu.PrintArea" localSheetId="9">#REF!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 localSheetId="9">#REF!</definedName>
    <definedName name="Z_258F368B_AF27_44ED_A772_A0C4A2AFB945_.wvu.PrintArea_10">#REF!</definedName>
    <definedName name="Z_258F368B_AF27_44ED_A772_A0C4A2AFB945_.wvu.PrintArea_11" localSheetId="9">#REF!</definedName>
    <definedName name="Z_258F368B_AF27_44ED_A772_A0C4A2AFB945_.wvu.PrintArea_11">#REF!</definedName>
    <definedName name="Z_258F368B_AF27_44ED_A772_A0C4A2AFB945_.wvu.PrintArea_12" localSheetId="9">#REF!</definedName>
    <definedName name="Z_258F368B_AF27_44ED_A772_A0C4A2AFB945_.wvu.PrintArea_12">#REF!</definedName>
    <definedName name="Z_258F368B_AF27_44ED_A772_A0C4A2AFB945_.wvu.PrintArea_13" localSheetId="9">#REF!</definedName>
    <definedName name="Z_258F368B_AF27_44ED_A772_A0C4A2AFB945_.wvu.PrintArea_13">#REF!</definedName>
    <definedName name="Z_258F368B_AF27_44ED_A772_A0C4A2AFB945_.wvu.PrintArea_14" localSheetId="9">#REF!</definedName>
    <definedName name="Z_258F368B_AF27_44ED_A772_A0C4A2AFB945_.wvu.PrintArea_14">#REF!</definedName>
    <definedName name="Z_258F368B_AF27_44ED_A772_A0C4A2AFB945_.wvu.PrintArea_15" localSheetId="9">#REF!</definedName>
    <definedName name="Z_258F368B_AF27_44ED_A772_A0C4A2AFB945_.wvu.PrintArea_15">#REF!</definedName>
    <definedName name="Z_258F368B_AF27_44ED_A772_A0C4A2AFB945_.wvu.PrintArea_16" localSheetId="9">#REF!</definedName>
    <definedName name="Z_258F368B_AF27_44ED_A772_A0C4A2AFB945_.wvu.PrintArea_16">#REF!</definedName>
    <definedName name="Z_258F368B_AF27_44ED_A772_A0C4A2AFB945_.wvu.PrintArea_17" localSheetId="9">#REF!</definedName>
    <definedName name="Z_258F368B_AF27_44ED_A772_A0C4A2AFB945_.wvu.PrintArea_17">#REF!</definedName>
    <definedName name="Z_258F368B_AF27_44ED_A772_A0C4A2AFB945_.wvu.PrintArea_18" localSheetId="9">#REF!</definedName>
    <definedName name="Z_258F368B_AF27_44ED_A772_A0C4A2AFB945_.wvu.PrintArea_18">#REF!</definedName>
    <definedName name="Z_258F368B_AF27_44ED_A772_A0C4A2AFB945_.wvu.PrintArea_19" localSheetId="9">#REF!</definedName>
    <definedName name="Z_258F368B_AF27_44ED_A772_A0C4A2AFB945_.wvu.PrintArea_19">#REF!</definedName>
    <definedName name="Z_258F368B_AF27_44ED_A772_A0C4A2AFB945_.wvu.PrintArea_2" localSheetId="9">#REF!</definedName>
    <definedName name="Z_258F368B_AF27_44ED_A772_A0C4A2AFB945_.wvu.PrintArea_2">#REF!</definedName>
    <definedName name="Z_258F368B_AF27_44ED_A772_A0C4A2AFB945_.wvu.PrintArea_2_1" localSheetId="9">#REF!</definedName>
    <definedName name="Z_258F368B_AF27_44ED_A772_A0C4A2AFB945_.wvu.PrintArea_2_1">#REF!</definedName>
    <definedName name="Z_258F368B_AF27_44ED_A772_A0C4A2AFB945_.wvu.PrintArea_2_2" localSheetId="9">#REF!</definedName>
    <definedName name="Z_258F368B_AF27_44ED_A772_A0C4A2AFB945_.wvu.PrintArea_2_2">#REF!</definedName>
    <definedName name="Z_258F368B_AF27_44ED_A772_A0C4A2AFB945_.wvu.PrintArea_2_3" localSheetId="9">#REF!</definedName>
    <definedName name="Z_258F368B_AF27_44ED_A772_A0C4A2AFB945_.wvu.PrintArea_2_3">#REF!</definedName>
    <definedName name="Z_258F368B_AF27_44ED_A772_A0C4A2AFB945_.wvu.PrintArea_2_4" localSheetId="9">#REF!</definedName>
    <definedName name="Z_258F368B_AF27_44ED_A772_A0C4A2AFB945_.wvu.PrintArea_2_4">#REF!</definedName>
    <definedName name="Z_258F368B_AF27_44ED_A772_A0C4A2AFB945_.wvu.PrintArea_2_5" localSheetId="9">#REF!</definedName>
    <definedName name="Z_258F368B_AF27_44ED_A772_A0C4A2AFB945_.wvu.PrintArea_2_5">#REF!</definedName>
    <definedName name="Z_258F368B_AF27_44ED_A772_A0C4A2AFB945_.wvu.PrintArea_2_6" localSheetId="9">#REF!</definedName>
    <definedName name="Z_258F368B_AF27_44ED_A772_A0C4A2AFB945_.wvu.PrintArea_2_6">#REF!</definedName>
    <definedName name="Z_258F368B_AF27_44ED_A772_A0C4A2AFB945_.wvu.PrintArea_20" localSheetId="9">#REF!</definedName>
    <definedName name="Z_258F368B_AF27_44ED_A772_A0C4A2AFB945_.wvu.PrintArea_20">#REF!</definedName>
    <definedName name="Z_258F368B_AF27_44ED_A772_A0C4A2AFB945_.wvu.PrintArea_21" localSheetId="9">#REF!</definedName>
    <definedName name="Z_258F368B_AF27_44ED_A772_A0C4A2AFB945_.wvu.PrintArea_21">#REF!</definedName>
    <definedName name="Z_258F368B_AF27_44ED_A772_A0C4A2AFB945_.wvu.PrintArea_21_1" localSheetId="9">#REF!</definedName>
    <definedName name="Z_258F368B_AF27_44ED_A772_A0C4A2AFB945_.wvu.PrintArea_21_1">#REF!</definedName>
    <definedName name="Z_258F368B_AF27_44ED_A772_A0C4A2AFB945_.wvu.PrintArea_21_2" localSheetId="9">#REF!</definedName>
    <definedName name="Z_258F368B_AF27_44ED_A772_A0C4A2AFB945_.wvu.PrintArea_21_2">#REF!</definedName>
    <definedName name="Z_258F368B_AF27_44ED_A772_A0C4A2AFB945_.wvu.PrintArea_21_3" localSheetId="9">#REF!</definedName>
    <definedName name="Z_258F368B_AF27_44ED_A772_A0C4A2AFB945_.wvu.PrintArea_21_3">#REF!</definedName>
    <definedName name="Z_258F368B_AF27_44ED_A772_A0C4A2AFB945_.wvu.PrintArea_22" localSheetId="9">#REF!</definedName>
    <definedName name="Z_258F368B_AF27_44ED_A772_A0C4A2AFB945_.wvu.PrintArea_22">#REF!</definedName>
    <definedName name="Z_258F368B_AF27_44ED_A772_A0C4A2AFB945_.wvu.PrintArea_23" localSheetId="9">#REF!</definedName>
    <definedName name="Z_258F368B_AF27_44ED_A772_A0C4A2AFB945_.wvu.PrintArea_23">#REF!</definedName>
    <definedName name="Z_258F368B_AF27_44ED_A772_A0C4A2AFB945_.wvu.PrintArea_24" localSheetId="9">#REF!</definedName>
    <definedName name="Z_258F368B_AF27_44ED_A772_A0C4A2AFB945_.wvu.PrintArea_24">#REF!</definedName>
    <definedName name="Z_258F368B_AF27_44ED_A772_A0C4A2AFB945_.wvu.PrintArea_24_1" localSheetId="9">#REF!</definedName>
    <definedName name="Z_258F368B_AF27_44ED_A772_A0C4A2AFB945_.wvu.PrintArea_24_1">#REF!</definedName>
    <definedName name="Z_258F368B_AF27_44ED_A772_A0C4A2AFB945_.wvu.PrintArea_24_2" localSheetId="9">#REF!</definedName>
    <definedName name="Z_258F368B_AF27_44ED_A772_A0C4A2AFB945_.wvu.PrintArea_24_2">#REF!</definedName>
    <definedName name="Z_258F368B_AF27_44ED_A772_A0C4A2AFB945_.wvu.PrintArea_25" localSheetId="9">#REF!</definedName>
    <definedName name="Z_258F368B_AF27_44ED_A772_A0C4A2AFB945_.wvu.PrintArea_25">#REF!</definedName>
    <definedName name="Z_258F368B_AF27_44ED_A772_A0C4A2AFB945_.wvu.PrintArea_26" localSheetId="9">#REF!</definedName>
    <definedName name="Z_258F368B_AF27_44ED_A772_A0C4A2AFB945_.wvu.PrintArea_26">#REF!</definedName>
    <definedName name="Z_258F368B_AF27_44ED_A772_A0C4A2AFB945_.wvu.PrintArea_27" localSheetId="9">#REF!</definedName>
    <definedName name="Z_258F368B_AF27_44ED_A772_A0C4A2AFB945_.wvu.PrintArea_27">#REF!</definedName>
    <definedName name="Z_258F368B_AF27_44ED_A772_A0C4A2AFB945_.wvu.PrintArea_28" localSheetId="9">#REF!</definedName>
    <definedName name="Z_258F368B_AF27_44ED_A772_A0C4A2AFB945_.wvu.PrintArea_28">#REF!</definedName>
    <definedName name="Z_258F368B_AF27_44ED_A772_A0C4A2AFB945_.wvu.PrintArea_29" localSheetId="9">#REF!</definedName>
    <definedName name="Z_258F368B_AF27_44ED_A772_A0C4A2AFB945_.wvu.PrintArea_29">#REF!</definedName>
    <definedName name="Z_258F368B_AF27_44ED_A772_A0C4A2AFB945_.wvu.PrintArea_3" localSheetId="9">#REF!</definedName>
    <definedName name="Z_258F368B_AF27_44ED_A772_A0C4A2AFB945_.wvu.PrintArea_3">#REF!</definedName>
    <definedName name="Z_258F368B_AF27_44ED_A772_A0C4A2AFB945_.wvu.PrintArea_30" localSheetId="9">#REF!</definedName>
    <definedName name="Z_258F368B_AF27_44ED_A772_A0C4A2AFB945_.wvu.PrintArea_30">#REF!</definedName>
    <definedName name="Z_258F368B_AF27_44ED_A772_A0C4A2AFB945_.wvu.PrintArea_31" localSheetId="9">#REF!</definedName>
    <definedName name="Z_258F368B_AF27_44ED_A772_A0C4A2AFB945_.wvu.PrintArea_31">#REF!</definedName>
    <definedName name="Z_258F368B_AF27_44ED_A772_A0C4A2AFB945_.wvu.PrintArea_32" localSheetId="9">#REF!</definedName>
    <definedName name="Z_258F368B_AF27_44ED_A772_A0C4A2AFB945_.wvu.PrintArea_32">#REF!</definedName>
    <definedName name="Z_258F368B_AF27_44ED_A772_A0C4A2AFB945_.wvu.PrintArea_33" localSheetId="9">#REF!</definedName>
    <definedName name="Z_258F368B_AF27_44ED_A772_A0C4A2AFB945_.wvu.PrintArea_33">#REF!</definedName>
    <definedName name="Z_258F368B_AF27_44ED_A772_A0C4A2AFB945_.wvu.PrintArea_34" localSheetId="9">#REF!</definedName>
    <definedName name="Z_258F368B_AF27_44ED_A772_A0C4A2AFB945_.wvu.PrintArea_34">#REF!</definedName>
    <definedName name="Z_258F368B_AF27_44ED_A772_A0C4A2AFB945_.wvu.PrintArea_35" localSheetId="9">#REF!</definedName>
    <definedName name="Z_258F368B_AF27_44ED_A772_A0C4A2AFB945_.wvu.PrintArea_35">#REF!</definedName>
    <definedName name="Z_258F368B_AF27_44ED_A772_A0C4A2AFB945_.wvu.PrintArea_36" localSheetId="9">#REF!</definedName>
    <definedName name="Z_258F368B_AF27_44ED_A772_A0C4A2AFB945_.wvu.PrintArea_36">#REF!</definedName>
    <definedName name="Z_258F368B_AF27_44ED_A772_A0C4A2AFB945_.wvu.PrintArea_37" localSheetId="9">#REF!</definedName>
    <definedName name="Z_258F368B_AF27_44ED_A772_A0C4A2AFB945_.wvu.PrintArea_37">#REF!</definedName>
    <definedName name="Z_258F368B_AF27_44ED_A772_A0C4A2AFB945_.wvu.PrintArea_38" localSheetId="9">#REF!</definedName>
    <definedName name="Z_258F368B_AF27_44ED_A772_A0C4A2AFB945_.wvu.PrintArea_38">#REF!</definedName>
    <definedName name="Z_258F368B_AF27_44ED_A772_A0C4A2AFB945_.wvu.PrintArea_39" localSheetId="9">#REF!</definedName>
    <definedName name="Z_258F368B_AF27_44ED_A772_A0C4A2AFB945_.wvu.PrintArea_39">#REF!</definedName>
    <definedName name="Z_258F368B_AF27_44ED_A772_A0C4A2AFB945_.wvu.PrintArea_4" localSheetId="9">#REF!</definedName>
    <definedName name="Z_258F368B_AF27_44ED_A772_A0C4A2AFB945_.wvu.PrintArea_4">#REF!</definedName>
    <definedName name="Z_258F368B_AF27_44ED_A772_A0C4A2AFB945_.wvu.PrintArea_41" localSheetId="9">#REF!</definedName>
    <definedName name="Z_258F368B_AF27_44ED_A772_A0C4A2AFB945_.wvu.PrintArea_41">#REF!</definedName>
    <definedName name="Z_258F368B_AF27_44ED_A772_A0C4A2AFB945_.wvu.PrintArea_42" localSheetId="9">#REF!</definedName>
    <definedName name="Z_258F368B_AF27_44ED_A772_A0C4A2AFB945_.wvu.PrintArea_42">#REF!</definedName>
    <definedName name="Z_258F368B_AF27_44ED_A772_A0C4A2AFB945_.wvu.PrintArea_43" localSheetId="9">#REF!</definedName>
    <definedName name="Z_258F368B_AF27_44ED_A772_A0C4A2AFB945_.wvu.PrintArea_43">#REF!</definedName>
    <definedName name="Z_258F368B_AF27_44ED_A772_A0C4A2AFB945_.wvu.PrintArea_44" localSheetId="9">#REF!</definedName>
    <definedName name="Z_258F368B_AF27_44ED_A772_A0C4A2AFB945_.wvu.PrintArea_44">#REF!</definedName>
    <definedName name="Z_258F368B_AF27_44ED_A772_A0C4A2AFB945_.wvu.PrintArea_45" localSheetId="9">#REF!</definedName>
    <definedName name="Z_258F368B_AF27_44ED_A772_A0C4A2AFB945_.wvu.PrintArea_45">#REF!</definedName>
    <definedName name="Z_258F368B_AF27_44ED_A772_A0C4A2AFB945_.wvu.PrintArea_46" localSheetId="9">#REF!</definedName>
    <definedName name="Z_258F368B_AF27_44ED_A772_A0C4A2AFB945_.wvu.PrintArea_46">#REF!</definedName>
    <definedName name="Z_258F368B_AF27_44ED_A772_A0C4A2AFB945_.wvu.PrintArea_46_1" localSheetId="9">#REF!</definedName>
    <definedName name="Z_258F368B_AF27_44ED_A772_A0C4A2AFB945_.wvu.PrintArea_46_1">#REF!</definedName>
    <definedName name="Z_258F368B_AF27_44ED_A772_A0C4A2AFB945_.wvu.PrintArea_46_2" localSheetId="9">#REF!</definedName>
    <definedName name="Z_258F368B_AF27_44ED_A772_A0C4A2AFB945_.wvu.PrintArea_46_2">#REF!</definedName>
    <definedName name="Z_258F368B_AF27_44ED_A772_A0C4A2AFB945_.wvu.PrintArea_46_3" localSheetId="9">#REF!</definedName>
    <definedName name="Z_258F368B_AF27_44ED_A772_A0C4A2AFB945_.wvu.PrintArea_46_3">#REF!</definedName>
    <definedName name="Z_258F368B_AF27_44ED_A772_A0C4A2AFB945_.wvu.PrintArea_46_4" localSheetId="9">#REF!</definedName>
    <definedName name="Z_258F368B_AF27_44ED_A772_A0C4A2AFB945_.wvu.PrintArea_46_4">#REF!</definedName>
    <definedName name="Z_258F368B_AF27_44ED_A772_A0C4A2AFB945_.wvu.PrintArea_46_5" localSheetId="9">#REF!</definedName>
    <definedName name="Z_258F368B_AF27_44ED_A772_A0C4A2AFB945_.wvu.PrintArea_46_5">#REF!</definedName>
    <definedName name="Z_258F368B_AF27_44ED_A772_A0C4A2AFB945_.wvu.PrintArea_46_6" localSheetId="9">#REF!</definedName>
    <definedName name="Z_258F368B_AF27_44ED_A772_A0C4A2AFB945_.wvu.PrintArea_46_6">#REF!</definedName>
    <definedName name="Z_258F368B_AF27_44ED_A772_A0C4A2AFB945_.wvu.PrintArea_46_7" localSheetId="9">#REF!</definedName>
    <definedName name="Z_258F368B_AF27_44ED_A772_A0C4A2AFB945_.wvu.PrintArea_46_7">#REF!</definedName>
    <definedName name="Z_258F368B_AF27_44ED_A772_A0C4A2AFB945_.wvu.PrintArea_46_8" localSheetId="9">#REF!</definedName>
    <definedName name="Z_258F368B_AF27_44ED_A772_A0C4A2AFB945_.wvu.PrintArea_46_8">#REF!</definedName>
    <definedName name="Z_258F368B_AF27_44ED_A772_A0C4A2AFB945_.wvu.PrintArea_46_9" localSheetId="9">#REF!</definedName>
    <definedName name="Z_258F368B_AF27_44ED_A772_A0C4A2AFB945_.wvu.PrintArea_46_9">#REF!</definedName>
    <definedName name="Z_258F368B_AF27_44ED_A772_A0C4A2AFB945_.wvu.PrintArea_47">"#REF!"</definedName>
    <definedName name="Z_258F368B_AF27_44ED_A772_A0C4A2AFB945_.wvu.PrintArea_49" localSheetId="9">#REF!</definedName>
    <definedName name="Z_258F368B_AF27_44ED_A772_A0C4A2AFB945_.wvu.PrintArea_49">#REF!</definedName>
    <definedName name="Z_258F368B_AF27_44ED_A772_A0C4A2AFB945_.wvu.PrintArea_5" localSheetId="9">#REF!</definedName>
    <definedName name="Z_258F368B_AF27_44ED_A772_A0C4A2AFB945_.wvu.PrintArea_5">#REF!</definedName>
    <definedName name="Z_258F368B_AF27_44ED_A772_A0C4A2AFB945_.wvu.PrintArea_6" localSheetId="9">#REF!</definedName>
    <definedName name="Z_258F368B_AF27_44ED_A772_A0C4A2AFB945_.wvu.PrintArea_6">#REF!</definedName>
    <definedName name="Z_258F368B_AF27_44ED_A772_A0C4A2AFB945_.wvu.PrintArea_7" localSheetId="9">#REF!</definedName>
    <definedName name="Z_258F368B_AF27_44ED_A772_A0C4A2AFB945_.wvu.PrintArea_7">#REF!</definedName>
    <definedName name="Z_258F368B_AF27_44ED_A772_A0C4A2AFB945_.wvu.PrintArea_8" localSheetId="9">#REF!</definedName>
    <definedName name="Z_258F368B_AF27_44ED_A772_A0C4A2AFB945_.wvu.PrintArea_8">#REF!</definedName>
    <definedName name="Z_258F368B_AF27_44ED_A772_A0C4A2AFB945_.wvu.PrintArea_9" localSheetId="9">#REF!</definedName>
    <definedName name="Z_258F368B_AF27_44ED_A772_A0C4A2AFB945_.wvu.PrintArea_9">#REF!</definedName>
    <definedName name="Z_258F368B_AF27_44ED_A772_A0C4A2AFB945_.wvu.Rows" localSheetId="9">#REF!</definedName>
    <definedName name="Z_258F368B_AF27_44ED_A772_A0C4A2AFB945_.wvu.Row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9" i="10" l="1"/>
  <c r="S8" i="10"/>
  <c r="S7" i="10"/>
  <c r="S6" i="10"/>
  <c r="R8" i="10"/>
  <c r="Q8" i="10"/>
  <c r="N15" i="6"/>
  <c r="H15" i="4"/>
  <c r="H7" i="13" s="1"/>
  <c r="M37" i="18"/>
  <c r="D37" i="18"/>
  <c r="L6" i="10"/>
  <c r="K6" i="10"/>
  <c r="J7" i="13" l="1"/>
  <c r="H11" i="13"/>
  <c r="I8" i="13"/>
  <c r="I7" i="13"/>
  <c r="H8" i="13"/>
  <c r="H36" i="7"/>
  <c r="M28" i="18"/>
  <c r="D28" i="18"/>
  <c r="D15" i="4"/>
  <c r="H30" i="7" s="1"/>
  <c r="M19" i="18"/>
  <c r="D19" i="18"/>
  <c r="M10" i="18"/>
  <c r="D10" i="18"/>
  <c r="L9" i="18"/>
  <c r="K9" i="18"/>
  <c r="N9" i="18" s="1"/>
  <c r="H9" i="18"/>
  <c r="L8" i="18"/>
  <c r="K8" i="18"/>
  <c r="N8" i="18" s="1"/>
  <c r="H8" i="18"/>
  <c r="L7" i="18"/>
  <c r="K7" i="18"/>
  <c r="N7" i="18" s="1"/>
  <c r="H7" i="18"/>
  <c r="L6" i="18"/>
  <c r="K6" i="18"/>
  <c r="H6" i="18"/>
  <c r="H12" i="13" l="1"/>
  <c r="J8" i="13"/>
  <c r="K7" i="13"/>
  <c r="I11" i="13"/>
  <c r="I12" i="13"/>
  <c r="K8" i="13"/>
  <c r="L7" i="13"/>
  <c r="N6" i="18"/>
  <c r="N10" i="18" s="1"/>
  <c r="L10" i="18"/>
  <c r="K10" i="18"/>
  <c r="I14" i="10" l="1"/>
  <c r="J9" i="3" s="1"/>
  <c r="H7" i="4"/>
  <c r="H23" i="7" s="1"/>
  <c r="M17" i="10" l="1"/>
  <c r="G8" i="13" l="1"/>
  <c r="G7" i="13"/>
  <c r="G8" i="16" s="1"/>
  <c r="F8" i="13"/>
  <c r="F7" i="13"/>
  <c r="F7" i="17"/>
  <c r="F8" i="17"/>
  <c r="F9" i="17"/>
  <c r="F6" i="17"/>
  <c r="E10" i="17"/>
  <c r="D10" i="17"/>
  <c r="C10" i="17"/>
  <c r="J25" i="3" l="1"/>
  <c r="J26" i="3"/>
  <c r="F8" i="16"/>
  <c r="F12" i="16" s="1"/>
  <c r="D8" i="13" l="1"/>
  <c r="E8" i="13"/>
  <c r="E7" i="13"/>
  <c r="D7" i="13"/>
  <c r="M6" i="10"/>
  <c r="D8" i="16" l="1"/>
  <c r="D22" i="16" s="1"/>
  <c r="D29" i="16" s="1"/>
  <c r="E8" i="16"/>
  <c r="E22" i="16" s="1"/>
  <c r="E29" i="16" s="1"/>
  <c r="D9" i="13"/>
  <c r="E9" i="13"/>
  <c r="I15" i="10" l="1"/>
  <c r="I16" i="10"/>
  <c r="J17" i="3" s="1"/>
  <c r="J14" i="10"/>
  <c r="J10" i="3" s="1"/>
  <c r="J15" i="10"/>
  <c r="J16" i="10"/>
  <c r="J18" i="3" s="1"/>
  <c r="F16" i="10"/>
  <c r="D16" i="10"/>
  <c r="H8" i="6"/>
  <c r="H9" i="6"/>
  <c r="H10" i="6"/>
  <c r="H7" i="6"/>
  <c r="M11" i="6"/>
  <c r="L14" i="10" l="1"/>
  <c r="L15" i="10"/>
  <c r="J14" i="3"/>
  <c r="K15" i="10"/>
  <c r="J13" i="3"/>
  <c r="K14" i="10"/>
  <c r="K16" i="10"/>
  <c r="L16" i="10"/>
  <c r="L8" i="6"/>
  <c r="L9" i="6"/>
  <c r="L10" i="6"/>
  <c r="L7" i="6"/>
  <c r="K8" i="6"/>
  <c r="N8" i="6" s="1"/>
  <c r="K9" i="6"/>
  <c r="K10" i="6"/>
  <c r="K7" i="6"/>
  <c r="D11" i="6"/>
  <c r="M14" i="10" l="1"/>
  <c r="G14" i="10" s="1"/>
  <c r="M15" i="10"/>
  <c r="H15" i="10" s="1"/>
  <c r="M16" i="10"/>
  <c r="G16" i="10" s="1"/>
  <c r="N7" i="6"/>
  <c r="N10" i="6"/>
  <c r="N9" i="6"/>
  <c r="L11" i="6"/>
  <c r="K11" i="6"/>
  <c r="N11" i="6" l="1"/>
  <c r="N16" i="6" s="1"/>
  <c r="G15" i="10"/>
  <c r="H14" i="10"/>
  <c r="H16" i="10"/>
  <c r="D7" i="4"/>
  <c r="G16" i="7" l="1"/>
  <c r="D6" i="7"/>
  <c r="D7" i="7"/>
  <c r="D8" i="7"/>
  <c r="D5" i="7"/>
  <c r="C7" i="7"/>
  <c r="G17" i="7"/>
  <c r="G18" i="7" s="1"/>
  <c r="C8" i="7"/>
  <c r="C6" i="7"/>
  <c r="C5" i="7"/>
  <c r="K15" i="18" s="1"/>
  <c r="I15" i="18" s="1"/>
  <c r="M18" i="3"/>
  <c r="M17" i="3"/>
  <c r="M14" i="3"/>
  <c r="M13" i="3"/>
  <c r="H5" i="7" l="1"/>
  <c r="H7" i="7"/>
  <c r="K17" i="18"/>
  <c r="I17" i="18" s="1"/>
  <c r="I5" i="7"/>
  <c r="L15" i="18"/>
  <c r="I8" i="7"/>
  <c r="L18" i="18"/>
  <c r="J18" i="18" s="1"/>
  <c r="I7" i="7"/>
  <c r="L17" i="18"/>
  <c r="J17" i="18" s="1"/>
  <c r="H6" i="7"/>
  <c r="K16" i="18"/>
  <c r="I16" i="18" s="1"/>
  <c r="I6" i="7"/>
  <c r="L16" i="18"/>
  <c r="J16" i="18" s="1"/>
  <c r="H8" i="7"/>
  <c r="K18" i="18"/>
  <c r="D9" i="7"/>
  <c r="E7" i="7"/>
  <c r="I8" i="16"/>
  <c r="E8" i="7"/>
  <c r="M26" i="3"/>
  <c r="M25" i="3"/>
  <c r="E6" i="7"/>
  <c r="C9" i="7"/>
  <c r="E5" i="7"/>
  <c r="J8" i="7" l="1"/>
  <c r="K27" i="18"/>
  <c r="M8" i="7"/>
  <c r="R8" i="7" s="1"/>
  <c r="K36" i="18" s="1"/>
  <c r="N6" i="7"/>
  <c r="S6" i="7" s="1"/>
  <c r="L34" i="18" s="1"/>
  <c r="J34" i="18" s="1"/>
  <c r="L25" i="18"/>
  <c r="J25" i="18" s="1"/>
  <c r="N7" i="7"/>
  <c r="S7" i="7" s="1"/>
  <c r="L35" i="18" s="1"/>
  <c r="J35" i="18" s="1"/>
  <c r="L26" i="18"/>
  <c r="J26" i="18" s="1"/>
  <c r="K24" i="18"/>
  <c r="M5" i="7"/>
  <c r="R5" i="7" s="1"/>
  <c r="N8" i="7"/>
  <c r="S8" i="7" s="1"/>
  <c r="L27" i="18"/>
  <c r="J27" i="18" s="1"/>
  <c r="I9" i="7"/>
  <c r="L24" i="18"/>
  <c r="N5" i="7"/>
  <c r="S5" i="7" s="1"/>
  <c r="H9" i="7"/>
  <c r="M6" i="7"/>
  <c r="R6" i="7" s="1"/>
  <c r="K25" i="18"/>
  <c r="J7" i="7"/>
  <c r="M7" i="7"/>
  <c r="R7" i="7" s="1"/>
  <c r="K26" i="18"/>
  <c r="J5" i="7"/>
  <c r="N18" i="18"/>
  <c r="G18" i="18" s="1"/>
  <c r="H18" i="18" s="1"/>
  <c r="I18" i="18"/>
  <c r="L19" i="18"/>
  <c r="J15" i="18"/>
  <c r="J6" i="7"/>
  <c r="K19" i="18"/>
  <c r="N16" i="18"/>
  <c r="G16" i="18" s="1"/>
  <c r="H16" i="18" s="1"/>
  <c r="N17" i="18"/>
  <c r="G17" i="18" s="1"/>
  <c r="H17" i="18" s="1"/>
  <c r="N15" i="18"/>
  <c r="G15" i="18" s="1"/>
  <c r="L8" i="13"/>
  <c r="J9" i="13"/>
  <c r="K9" i="13"/>
  <c r="H8" i="16"/>
  <c r="E9" i="7"/>
  <c r="M10" i="3"/>
  <c r="L33" i="18" l="1"/>
  <c r="S9" i="7"/>
  <c r="T6" i="7"/>
  <c r="L5" i="10" s="1"/>
  <c r="K34" i="18"/>
  <c r="I36" i="18"/>
  <c r="T8" i="7"/>
  <c r="L36" i="18"/>
  <c r="J36" i="18" s="1"/>
  <c r="T7" i="7"/>
  <c r="K35" i="18"/>
  <c r="K33" i="18"/>
  <c r="R9" i="7"/>
  <c r="T5" i="7"/>
  <c r="O6" i="7"/>
  <c r="M9" i="3"/>
  <c r="O8" i="7"/>
  <c r="N9" i="7"/>
  <c r="N24" i="18"/>
  <c r="G24" i="18" s="1"/>
  <c r="H24" i="18" s="1"/>
  <c r="I24" i="18"/>
  <c r="K28" i="18"/>
  <c r="N19" i="18"/>
  <c r="P19" i="18" s="1"/>
  <c r="P20" i="18" s="1"/>
  <c r="L7" i="10"/>
  <c r="I27" i="18"/>
  <c r="N27" i="18"/>
  <c r="G27" i="18" s="1"/>
  <c r="H27" i="18" s="1"/>
  <c r="L28" i="18"/>
  <c r="J24" i="18"/>
  <c r="I26" i="18"/>
  <c r="N26" i="18"/>
  <c r="G26" i="18" s="1"/>
  <c r="H26" i="18" s="1"/>
  <c r="O7" i="7"/>
  <c r="I25" i="18"/>
  <c r="N25" i="18"/>
  <c r="G25" i="18" s="1"/>
  <c r="H25" i="18" s="1"/>
  <c r="O5" i="7"/>
  <c r="M9" i="7"/>
  <c r="H15" i="18"/>
  <c r="J9" i="7"/>
  <c r="B20" i="7"/>
  <c r="H22" i="7"/>
  <c r="H24" i="7" s="1"/>
  <c r="B26" i="7" s="1"/>
  <c r="L9" i="13"/>
  <c r="J8" i="16"/>
  <c r="K8" i="16" s="1"/>
  <c r="N36" i="18" l="1"/>
  <c r="G36" i="18" s="1"/>
  <c r="H36" i="18" s="1"/>
  <c r="N34" i="18"/>
  <c r="G34" i="18" s="1"/>
  <c r="H34" i="18" s="1"/>
  <c r="I34" i="18"/>
  <c r="H29" i="7"/>
  <c r="H31" i="7" s="1"/>
  <c r="J10" i="7"/>
  <c r="K37" i="18"/>
  <c r="N33" i="18"/>
  <c r="N37" i="18" s="1"/>
  <c r="I33" i="18"/>
  <c r="T9" i="7"/>
  <c r="K5" i="10"/>
  <c r="I35" i="18"/>
  <c r="N35" i="18"/>
  <c r="G35" i="18" s="1"/>
  <c r="H35" i="18" s="1"/>
  <c r="J33" i="18"/>
  <c r="L37" i="18"/>
  <c r="N28" i="18"/>
  <c r="P28" i="18" s="1"/>
  <c r="P29" i="18" s="1"/>
  <c r="O9" i="7"/>
  <c r="F13" i="16"/>
  <c r="L8" i="16"/>
  <c r="P37" i="18" l="1"/>
  <c r="P38" i="18" s="1"/>
  <c r="T10" i="7"/>
  <c r="H35" i="7"/>
  <c r="H37" i="7" s="1"/>
  <c r="B39" i="7" s="1"/>
  <c r="B33" i="7"/>
  <c r="O10" i="7"/>
  <c r="G33" i="18"/>
  <c r="H33" i="18" s="1"/>
  <c r="K7" i="10"/>
  <c r="M5" i="10"/>
  <c r="F14" i="16"/>
  <c r="F15" i="16" s="1"/>
  <c r="F22" i="16" s="1"/>
  <c r="H22" i="16" s="1"/>
  <c r="K22" i="16" l="1"/>
  <c r="M7" i="10"/>
  <c r="M19" i="10" s="1"/>
  <c r="N5" i="10"/>
  <c r="J28" i="3"/>
  <c r="M28" i="3" s="1"/>
  <c r="G12" i="16"/>
  <c r="G14" i="16" s="1"/>
  <c r="G15" i="16" s="1"/>
  <c r="H12" i="16" s="1"/>
  <c r="H14" i="16" l="1"/>
  <c r="H15" i="16" s="1"/>
  <c r="I12" i="16" s="1"/>
  <c r="I14" i="16" s="1"/>
  <c r="I15" i="16" s="1"/>
  <c r="J12" i="16" s="1"/>
  <c r="J14" i="16" s="1"/>
  <c r="J15" i="16" s="1"/>
  <c r="F29" i="16"/>
  <c r="H29" i="16" s="1"/>
  <c r="L22" i="16" l="1"/>
  <c r="J21" i="3"/>
  <c r="M21" i="3" s="1"/>
  <c r="I22" i="16" l="1"/>
  <c r="H31" i="16"/>
  <c r="H32" i="16" s="1"/>
  <c r="G22" i="16" l="1"/>
  <c r="G29" i="16" s="1"/>
  <c r="J22" i="16"/>
  <c r="I29" i="16" l="1"/>
  <c r="J22" i="3"/>
  <c r="M22" i="3" s="1"/>
  <c r="I31" i="16" l="1"/>
  <c r="I32" i="16" s="1"/>
  <c r="J29" i="16"/>
  <c r="J31" i="16" s="1"/>
  <c r="J32" i="16" s="1"/>
</calcChain>
</file>

<file path=xl/sharedStrings.xml><?xml version="1.0" encoding="utf-8"?>
<sst xmlns="http://schemas.openxmlformats.org/spreadsheetml/2006/main" count="454" uniqueCount="146">
  <si>
    <t>Algoma Power Inc.</t>
  </si>
  <si>
    <t xml:space="preserve">Incentive Rate-setting Mechanism </t>
  </si>
  <si>
    <t>Rate Design Model</t>
  </si>
  <si>
    <t>Percent Change</t>
  </si>
  <si>
    <t>Distribution Charges</t>
  </si>
  <si>
    <t>Monthly Rates and Charges</t>
  </si>
  <si>
    <t>Metric</t>
  </si>
  <si>
    <t>Residential - R1(i)</t>
  </si>
  <si>
    <t>Monthly Service Charge</t>
  </si>
  <si>
    <t>$</t>
  </si>
  <si>
    <t>Distribution Volumetric Rate</t>
  </si>
  <si>
    <t>$/kWh</t>
  </si>
  <si>
    <t>Residential - R1(ii)</t>
  </si>
  <si>
    <t>Residential - R2</t>
  </si>
  <si>
    <t>$/kW</t>
  </si>
  <si>
    <t>Seasonal</t>
  </si>
  <si>
    <t>Street Lighting</t>
  </si>
  <si>
    <t>Rural and Remote Rate Protection</t>
  </si>
  <si>
    <t>Price Cap Metric</t>
  </si>
  <si>
    <t>Status</t>
  </si>
  <si>
    <t>Value</t>
  </si>
  <si>
    <t>Inflation Factor</t>
  </si>
  <si>
    <t>Productivity Factor</t>
  </si>
  <si>
    <t>Stretch Factor</t>
  </si>
  <si>
    <t>Calculated</t>
  </si>
  <si>
    <t>Price Cap for 2021 Electricity Distribution Rates</t>
  </si>
  <si>
    <t>Customer Class</t>
  </si>
  <si>
    <t>Average # of Customers</t>
  </si>
  <si>
    <t>Billing Determinant</t>
  </si>
  <si>
    <t>F/V Split</t>
  </si>
  <si>
    <t>Distribution Rates</t>
  </si>
  <si>
    <t>Revenues</t>
  </si>
  <si>
    <t>kWh</t>
  </si>
  <si>
    <t>kW</t>
  </si>
  <si>
    <t>Fixed Allocation</t>
  </si>
  <si>
    <t>Variable Allocation</t>
  </si>
  <si>
    <t>Variable Charge</t>
  </si>
  <si>
    <t>Fixed</t>
  </si>
  <si>
    <t>Variable</t>
  </si>
  <si>
    <t>Total Revenue</t>
  </si>
  <si>
    <t>Residential - R1</t>
  </si>
  <si>
    <t>2020 Accepted Equivalent Electricity Distribution Rates</t>
  </si>
  <si>
    <t>Total</t>
  </si>
  <si>
    <t>Equivalent Distribution Rates Required to Recover the Approved 2020 Base Revenue Requirement in the absence of RRRP Funding
(See EB-2019-0019: Sheet 3 of API Rate Design Model and Sheet 13 of RRWF)</t>
  </si>
  <si>
    <t>Transformer Ownership Allowance</t>
  </si>
  <si>
    <t>Revenue Less Transformer Ownership</t>
  </si>
  <si>
    <t>Base Revenue Requirement:</t>
  </si>
  <si>
    <t>Difference (Rounding):</t>
  </si>
  <si>
    <t>% Difference:</t>
  </si>
  <si>
    <t>Check</t>
  </si>
  <si>
    <t>2020 COS Approved Revenue from Rates Less Transformer Ownership Allowance:</t>
  </si>
  <si>
    <t>2021 Indexed Revenue from Rates less Transformer Ownership Allowance:</t>
  </si>
  <si>
    <t>2021 Price Cap Index:</t>
  </si>
  <si>
    <t>IRM Indexed Revenue for 2021
(Using the 2021 Price-Cap Index)</t>
  </si>
  <si>
    <t>Delivery Charges Indexed by Simple Average of Other LDC Increases in Current Year</t>
  </si>
  <si>
    <t>Residential - R1 (i)</t>
  </si>
  <si>
    <t>Residential - R1 (ii)</t>
  </si>
  <si>
    <t>Notes:</t>
  </si>
  <si>
    <t>R1 customer count and kWh splits can be confirmed in EB-2019-0019: Sheet 4 of API Rate Design Model or Table 14 of Settlement Agreement</t>
  </si>
  <si>
    <t>Revenue</t>
  </si>
  <si>
    <t>Transformer Ownership Allowance (not indexed) - Attributable to the Residential - R2 class</t>
  </si>
  <si>
    <t>R1</t>
  </si>
  <si>
    <t>R2</t>
  </si>
  <si>
    <t>Total R1+R2</t>
  </si>
  <si>
    <t>Revenue Component</t>
  </si>
  <si>
    <t>Determination of Seasonal and Street Lighting Distribution Rates</t>
  </si>
  <si>
    <t>Customers</t>
  </si>
  <si>
    <t>Rate Class</t>
  </si>
  <si>
    <t>Customers/ Connections</t>
  </si>
  <si>
    <t>Test Year Consumption</t>
  </si>
  <si>
    <t>Proposed Rates</t>
  </si>
  <si>
    <t>Proposed Revenues</t>
  </si>
  <si>
    <t>Existing Split</t>
  </si>
  <si>
    <t>Average number of Customers</t>
  </si>
  <si>
    <t>Volumetric</t>
  </si>
  <si>
    <t>Monthly Service Charge to Achieve 100% Recovery</t>
  </si>
  <si>
    <t>Monthly Service Charge Increment</t>
  </si>
  <si>
    <t>Proposed Monthly Service Charge</t>
  </si>
  <si>
    <t>%</t>
  </si>
  <si>
    <t>Difference due to Rounding of Volumetric Rate:</t>
  </si>
  <si>
    <t>Revenue Reconciliation - Volumetric Rate Rounded to 4th Decimal Place</t>
  </si>
  <si>
    <t>Revenue Decoupling - Seasonal</t>
  </si>
  <si>
    <t>Notes</t>
  </si>
  <si>
    <t>3, 4</t>
  </si>
  <si>
    <t>Misc. Revenue</t>
  </si>
  <si>
    <t>EB-2019-0019 Approved Revenue to Cost Ratios</t>
  </si>
  <si>
    <t>Approved Revenue to Cost Ratio</t>
  </si>
  <si>
    <t>LF X Proposed Rates</t>
  </si>
  <si>
    <t>Price Cap Index</t>
  </si>
  <si>
    <t xml:space="preserve">Allocation of Service Revenue Requirement </t>
  </si>
  <si>
    <t>IRM Indexed Revenue for 2022
(Using the 2022 Price-Cap Index)</t>
  </si>
  <si>
    <t>Price Cap for 2022 Electricity Distribution Rates</t>
  </si>
  <si>
    <t>2021 Revenue from Rates Less Transformer Ownership Allowance:</t>
  </si>
  <si>
    <t>2022 Price Cap Index:</t>
  </si>
  <si>
    <t>2022 Indexed Revenue from Rates less Transformer Ownership Allowance:</t>
  </si>
  <si>
    <t>Final</t>
  </si>
  <si>
    <t>Assigned</t>
  </si>
  <si>
    <t>See "R1(i) Decoupling" tab for details of transition toward a fully fixed rate for traditional residential customers</t>
  </si>
  <si>
    <t>The 2020 Approved Class Revenues are indexed using the annual Price Cap index. This step is necessary to determine the overall 2021 revenue requirement for the R1 and R2 rate classes before the RRRP Adjustment Factor is applied.</t>
  </si>
  <si>
    <t>2021 Equivalent Electricity Distribution Rates</t>
  </si>
  <si>
    <t>Rev w/TO</t>
  </si>
  <si>
    <t>Match?</t>
  </si>
  <si>
    <t>Effective January 1, 2023</t>
  </si>
  <si>
    <t>Price Cap for 2023 Electricity Distribution Rates</t>
  </si>
  <si>
    <t>Revenue Decoupling for the Seasonal Rate Class - 8th Increment</t>
  </si>
  <si>
    <t>EB-2022-0014</t>
  </si>
  <si>
    <t>2022 Equivalent Electricity Distribution Rates</t>
  </si>
  <si>
    <t>2022 Revenue from Rates Less Transformer Ownership Allowance:</t>
  </si>
  <si>
    <t>2023 Price Cap Index:</t>
  </si>
  <si>
    <t>2023 Indexed Revenue from Rates less Transformer Ownership Allowance:</t>
  </si>
  <si>
    <t>2022 Approved ACM</t>
  </si>
  <si>
    <t>See ACM section of Manager's summary for explanation of ACM cost recovery for RRRP-funded rate classes</t>
  </si>
  <si>
    <t xml:space="preserve">Assigned </t>
  </si>
  <si>
    <t>2024 IRM Electricity Distribution Rate Application</t>
  </si>
  <si>
    <t>EB-2023-0005</t>
  </si>
  <si>
    <t>Approved 2023 IRM</t>
  </si>
  <si>
    <t>Proposed 2024 IRM</t>
  </si>
  <si>
    <t>Effective January 1, 2024</t>
  </si>
  <si>
    <t>Price Cap for 2024 Electricity Distribution Rates</t>
  </si>
  <si>
    <t>Determination of Residential R1 &amp; R2 2024 Electricity Distribution Rates and RRRP Funding</t>
  </si>
  <si>
    <t>Indexed Revenue Attributable to Residential Rate Classes for 2024</t>
  </si>
  <si>
    <t>ACM Rate Rider Revenue Allocated to Residential Rate Classes for 2024</t>
  </si>
  <si>
    <t>2023 Approved ACM</t>
  </si>
  <si>
    <t>2024 Application of Rate Indexing Methodology</t>
  </si>
  <si>
    <t>Simple Average Increase in Delivery Charge for 2024 using the 2023 Board Calculated RRRP Adjustment Factor</t>
  </si>
  <si>
    <t>Placeholder RRRP Adjustment Factor requires updating for 2023 rates - see Manager's Summary</t>
  </si>
  <si>
    <t>2023 Equivalent Electricity Distribution Rates</t>
  </si>
  <si>
    <t>IRM Indexed Revenue for 2023
(Using the 2023 Price-Cap Index)</t>
  </si>
  <si>
    <t>IRM Indexed Revenue for 2024
(Using the 2024 Price-Cap Index)</t>
  </si>
  <si>
    <t>2024 Distribution Base Rate Determination for Non-RRRP Rate Classes</t>
  </si>
  <si>
    <t>2023 Approved Rates</t>
  </si>
  <si>
    <t>2024 Indexed Rates</t>
  </si>
  <si>
    <t>2024 Revenues</t>
  </si>
  <si>
    <t>Check - inflation adjustment applied</t>
  </si>
  <si>
    <t>Indexed Monthly Service Charge (post IRM adjustment for 2024)</t>
  </si>
  <si>
    <t>2024 Proposed Seasonal Rates - Calculate Volumetric Rate Based on Change in F/V Split</t>
  </si>
  <si>
    <t>The Rural and Remote Rate Protection Amount Required for 2024</t>
  </si>
  <si>
    <t>Average # of Customers*</t>
  </si>
  <si>
    <t>kWh*</t>
  </si>
  <si>
    <t>kW*</t>
  </si>
  <si>
    <t>*</t>
  </si>
  <si>
    <t>2020 Board -Approved Values for Customers and Billing Determinants</t>
  </si>
  <si>
    <t>Seasonal (before rate design adj)</t>
  </si>
  <si>
    <t>Proposed Distribution Charges and RRRP Funding for 2024 Rate Year</t>
  </si>
  <si>
    <t>Interrogatory Responses: October 23, 2023</t>
  </si>
  <si>
    <t>Summary of UPDATES: the RRRP rate has been changed in the RRRP Rate Design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</si>
</sst>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43" formatCode="_(* #,##0.00_);_(* \(#,##0.00\);_(* &quot;-&quot;??_);_(@_)"/>
    <numFmt numFmtId="164" formatCode="_-&quot;$&quot;* #,##0.00_-;\-&quot;$&quot;* #,##0.00_-;_-&quot;$&quot;* &quot;-&quot;??_-;_-@_-"/>
    <numFmt numFmtId="165" formatCode="_-* #,##0.00_-;\-* #,##0.00_-;_-* &quot;-&quot;??_-;_-@_-"/>
    <numFmt numFmtId="166" formatCode="_(* #,##0.0000_);_(* \(#,##0.0000\);_(* &quot;-&quot;??_);_(@_)"/>
    <numFmt numFmtId="167" formatCode="_(* #,##0_);_(* \(#,##0\);_(* &quot;-&quot;??_);_(@_)"/>
    <numFmt numFmtId="168" formatCode="0.0%"/>
    <numFmt numFmtId="169" formatCode="0.000%"/>
    <numFmt numFmtId="170" formatCode="_(&quot;$&quot;* #,##0_);_(&quot;$&quot;* \(#,##0\);_(&quot;$&quot;* &quot;-&quot;??_);_(@_)"/>
    <numFmt numFmtId="171" formatCode="_-* #,##0_-;\-* #,##0_-;_-* &quot;-&quot;??_-;_-@_-"/>
    <numFmt numFmtId="172" formatCode="_-* #,##0.00_-;\-* #,##0.00_-;_-* \-??_-;_-@_-"/>
    <numFmt numFmtId="173" formatCode="0.0000%"/>
    <numFmt numFmtId="174" formatCode="_-&quot;$&quot;* #,##0.0000_-;\-&quot;$&quot;* #,##0.0000_-;_-&quot;$&quot;* &quot;-&quot;??_-;_-@_-"/>
    <numFmt numFmtId="175" formatCode="#,##0.0000"/>
    <numFmt numFmtId="176" formatCode="_-* #,##0.0000_-;\-* #,##0.0000_-;_-* &quot;-&quot;??_-;_-@_-"/>
    <numFmt numFmtId="177" formatCode="_-&quot;$&quot;* #,##0_-;\-&quot;$&quot;* #,##0_-;_-&quot;$&quot;*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26"/>
      <name val="Calibri"/>
      <family val="2"/>
      <scheme val="minor"/>
    </font>
    <font>
      <b/>
      <sz val="24"/>
      <name val="Calibri"/>
      <family val="2"/>
      <scheme val="minor"/>
    </font>
    <font>
      <b/>
      <sz val="12"/>
      <name val="Calibri"/>
      <family val="2"/>
      <scheme val="minor"/>
    </font>
    <font>
      <b/>
      <sz val="10"/>
      <name val="Calibri"/>
      <family val="2"/>
      <scheme val="minor"/>
    </font>
    <font>
      <sz val="10"/>
      <name val="Calibri"/>
      <family val="2"/>
      <scheme val="minor"/>
    </font>
    <font>
      <b/>
      <sz val="12"/>
      <color theme="1"/>
      <name val="Calibri"/>
      <family val="2"/>
      <scheme val="minor"/>
    </font>
    <font>
      <u/>
      <sz val="11"/>
      <color theme="1"/>
      <name val="Calibri"/>
      <family val="2"/>
      <scheme val="minor"/>
    </font>
    <font>
      <b/>
      <sz val="11"/>
      <name val="Calibri"/>
      <family val="2"/>
      <scheme val="minor"/>
    </font>
    <font>
      <b/>
      <u/>
      <sz val="11"/>
      <color theme="1"/>
      <name val="Calibri"/>
      <family val="2"/>
      <scheme val="minor"/>
    </font>
    <font>
      <sz val="11"/>
      <name val="Calibri"/>
      <family val="2"/>
      <scheme val="minor"/>
    </font>
    <font>
      <sz val="10"/>
      <name val="Arial"/>
      <family val="2"/>
    </font>
    <font>
      <sz val="10"/>
      <name val="Mangal"/>
      <family val="2"/>
      <charset val="1"/>
    </font>
    <font>
      <b/>
      <sz val="14"/>
      <color theme="1"/>
      <name val="Calibri"/>
      <family val="2"/>
      <scheme val="minor"/>
    </font>
    <font>
      <b/>
      <sz val="12"/>
      <name val="Arial"/>
      <family val="2"/>
    </font>
    <font>
      <b/>
      <sz val="10"/>
      <name val="Arial"/>
      <family val="2"/>
    </font>
    <font>
      <sz val="10"/>
      <color rgb="FFFF0000"/>
      <name val="Calibri"/>
      <family val="2"/>
      <scheme val="minor"/>
    </font>
    <font>
      <u/>
      <sz val="11"/>
      <name val="Calibri"/>
      <family val="2"/>
      <scheme val="minor"/>
    </font>
    <font>
      <i/>
      <sz val="11"/>
      <color theme="1"/>
      <name val="Calibri"/>
      <family val="2"/>
      <scheme val="minor"/>
    </font>
  </fonts>
  <fills count="8">
    <fill>
      <patternFill patternType="none"/>
    </fill>
    <fill>
      <patternFill patternType="gray125"/>
    </fill>
    <fill>
      <patternFill patternType="solid">
        <fgColor indexed="2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53">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s>
  <cellStyleXfs count="13">
    <xf numFmtId="0" fontId="0"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4" fillId="0" borderId="0"/>
    <xf numFmtId="0" fontId="1" fillId="0" borderId="0"/>
    <xf numFmtId="165" fontId="14" fillId="0" borderId="0" applyFont="0" applyFill="0" applyBorder="0" applyAlignment="0" applyProtection="0"/>
    <xf numFmtId="164" fontId="14" fillId="0" borderId="0" applyFont="0" applyFill="0" applyBorder="0" applyAlignment="0" applyProtection="0"/>
    <xf numFmtId="172" fontId="15" fillId="0" borderId="0" applyFill="0" applyBorder="0" applyAlignment="0" applyProtection="0"/>
    <xf numFmtId="9" fontId="14" fillId="0" borderId="0" applyFont="0" applyFill="0" applyBorder="0" applyAlignment="0" applyProtection="0"/>
    <xf numFmtId="9" fontId="15" fillId="0" borderId="0" applyFill="0" applyBorder="0" applyAlignment="0" applyProtection="0"/>
    <xf numFmtId="165" fontId="1" fillId="0" borderId="0" applyFont="0" applyFill="0" applyBorder="0" applyAlignment="0" applyProtection="0"/>
    <xf numFmtId="164" fontId="1" fillId="0" borderId="0" applyFont="0" applyFill="0" applyBorder="0" applyAlignment="0" applyProtection="0"/>
  </cellStyleXfs>
  <cellXfs count="322">
    <xf numFmtId="0" fontId="0" fillId="0" borderId="0" xfId="0"/>
    <xf numFmtId="0" fontId="2" fillId="0" borderId="0" xfId="0" applyFont="1"/>
    <xf numFmtId="165" fontId="0" fillId="2" borderId="17" xfId="2" applyFont="1" applyFill="1" applyBorder="1"/>
    <xf numFmtId="10" fontId="0" fillId="0" borderId="9" xfId="1" applyNumberFormat="1" applyFont="1" applyBorder="1" applyAlignment="1">
      <alignment horizontal="center"/>
    </xf>
    <xf numFmtId="166" fontId="0" fillId="2" borderId="17" xfId="2" applyNumberFormat="1" applyFont="1" applyFill="1" applyBorder="1"/>
    <xf numFmtId="0" fontId="0" fillId="0" borderId="0" xfId="0" applyAlignment="1">
      <alignment horizontal="center"/>
    </xf>
    <xf numFmtId="0" fontId="0" fillId="0" borderId="9" xfId="0" applyBorder="1" applyAlignment="1">
      <alignment horizontal="center"/>
    </xf>
    <xf numFmtId="0" fontId="7" fillId="0" borderId="16" xfId="0" applyFont="1" applyBorder="1" applyAlignment="1">
      <alignment vertical="center"/>
    </xf>
    <xf numFmtId="0" fontId="7" fillId="0" borderId="9" xfId="0" applyFont="1" applyBorder="1" applyAlignment="1">
      <alignment horizontal="center" vertical="center"/>
    </xf>
    <xf numFmtId="0" fontId="7" fillId="2" borderId="17" xfId="0" applyFont="1" applyFill="1" applyBorder="1" applyAlignment="1">
      <alignment horizontal="center" vertical="center" wrapText="1"/>
    </xf>
    <xf numFmtId="0" fontId="7" fillId="0" borderId="16" xfId="0" applyFont="1" applyBorder="1"/>
    <xf numFmtId="0" fontId="0" fillId="2" borderId="17" xfId="0" applyFill="1" applyBorder="1"/>
    <xf numFmtId="0" fontId="0" fillId="0" borderId="10" xfId="0" applyBorder="1"/>
    <xf numFmtId="0" fontId="0" fillId="0" borderId="18" xfId="0" applyBorder="1"/>
    <xf numFmtId="0" fontId="0" fillId="0" borderId="11" xfId="0" applyBorder="1"/>
    <xf numFmtId="0" fontId="0" fillId="0" borderId="16" xfId="0" applyBorder="1"/>
    <xf numFmtId="0" fontId="0" fillId="0" borderId="21" xfId="0" applyBorder="1"/>
    <xf numFmtId="10" fontId="0" fillId="0" borderId="9" xfId="0" applyNumberFormat="1" applyBorder="1" applyAlignment="1">
      <alignment horizontal="center"/>
    </xf>
    <xf numFmtId="0" fontId="7" fillId="0" borderId="22" xfId="0" applyFont="1" applyBorder="1"/>
    <xf numFmtId="0" fontId="0" fillId="0" borderId="23" xfId="0" applyBorder="1" applyAlignment="1">
      <alignment horizontal="center"/>
    </xf>
    <xf numFmtId="0" fontId="0" fillId="2" borderId="24" xfId="0" applyFill="1" applyBorder="1"/>
    <xf numFmtId="0" fontId="0" fillId="0" borderId="27" xfId="0" applyBorder="1"/>
    <xf numFmtId="0" fontId="2" fillId="0" borderId="28" xfId="0" applyFont="1" applyBorder="1"/>
    <xf numFmtId="0" fontId="2" fillId="0" borderId="29" xfId="0" applyFont="1" applyBorder="1" applyAlignment="1">
      <alignment horizontal="center"/>
    </xf>
    <xf numFmtId="0" fontId="2" fillId="0" borderId="30" xfId="0" applyFont="1" applyBorder="1" applyAlignment="1">
      <alignment horizontal="center"/>
    </xf>
    <xf numFmtId="10" fontId="0" fillId="0" borderId="32" xfId="1" applyNumberFormat="1" applyFont="1" applyBorder="1" applyAlignment="1">
      <alignment horizontal="center"/>
    </xf>
    <xf numFmtId="10" fontId="0" fillId="3" borderId="31" xfId="1" applyNumberFormat="1" applyFont="1" applyFill="1" applyBorder="1" applyAlignment="1">
      <alignment horizontal="center"/>
    </xf>
    <xf numFmtId="10" fontId="10" fillId="3" borderId="31" xfId="1" applyNumberFormat="1" applyFont="1" applyFill="1" applyBorder="1" applyAlignment="1">
      <alignment horizontal="center"/>
    </xf>
    <xf numFmtId="0" fontId="7" fillId="0" borderId="9" xfId="0" applyFont="1" applyBorder="1" applyAlignment="1">
      <alignment horizontal="center" vertical="center" wrapText="1"/>
    </xf>
    <xf numFmtId="167" fontId="0" fillId="0" borderId="9" xfId="2" applyNumberFormat="1" applyFont="1" applyBorder="1"/>
    <xf numFmtId="167" fontId="0" fillId="0" borderId="31" xfId="0" applyNumberFormat="1" applyBorder="1"/>
    <xf numFmtId="0" fontId="0" fillId="0" borderId="22" xfId="0" applyBorder="1"/>
    <xf numFmtId="0" fontId="8" fillId="0" borderId="0" xfId="0" applyFont="1"/>
    <xf numFmtId="0" fontId="0" fillId="3" borderId="9" xfId="0" applyFill="1" applyBorder="1" applyAlignment="1">
      <alignment horizontal="center"/>
    </xf>
    <xf numFmtId="0" fontId="2" fillId="0" borderId="22" xfId="0" applyFont="1" applyBorder="1"/>
    <xf numFmtId="0" fontId="2" fillId="4" borderId="23" xfId="0" applyFont="1" applyFill="1" applyBorder="1"/>
    <xf numFmtId="3" fontId="2" fillId="0" borderId="23" xfId="0" applyNumberFormat="1" applyFont="1" applyBorder="1" applyAlignment="1">
      <alignment horizontal="center"/>
    </xf>
    <xf numFmtId="167" fontId="0" fillId="4" borderId="9" xfId="2" applyNumberFormat="1" applyFont="1" applyFill="1" applyBorder="1"/>
    <xf numFmtId="167" fontId="0" fillId="3" borderId="9" xfId="2" applyNumberFormat="1" applyFont="1" applyFill="1" applyBorder="1"/>
    <xf numFmtId="165" fontId="0" fillId="3" borderId="9" xfId="2" applyFont="1" applyFill="1" applyBorder="1"/>
    <xf numFmtId="166" fontId="0" fillId="3" borderId="9" xfId="2" applyNumberFormat="1" applyFont="1" applyFill="1" applyBorder="1"/>
    <xf numFmtId="3" fontId="0" fillId="3" borderId="9" xfId="0" applyNumberFormat="1" applyFill="1" applyBorder="1" applyAlignment="1">
      <alignment horizontal="center"/>
    </xf>
    <xf numFmtId="0" fontId="7" fillId="0" borderId="31" xfId="0" applyFont="1" applyBorder="1" applyAlignment="1">
      <alignment horizontal="center" vertical="center" wrapText="1"/>
    </xf>
    <xf numFmtId="167" fontId="0" fillId="0" borderId="0" xfId="0" applyNumberFormat="1"/>
    <xf numFmtId="169" fontId="0" fillId="0" borderId="0" xfId="1" applyNumberFormat="1" applyFont="1"/>
    <xf numFmtId="0" fontId="11" fillId="0" borderId="9" xfId="0" applyFont="1" applyBorder="1" applyAlignment="1">
      <alignment horizontal="center" vertical="center"/>
    </xf>
    <xf numFmtId="0" fontId="11" fillId="0" borderId="9"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16" xfId="0" applyFont="1" applyBorder="1"/>
    <xf numFmtId="167" fontId="11" fillId="0" borderId="23" xfId="0" applyNumberFormat="1" applyFont="1" applyBorder="1"/>
    <xf numFmtId="167" fontId="11" fillId="0" borderId="32" xfId="0" applyNumberFormat="1" applyFont="1" applyBorder="1"/>
    <xf numFmtId="10" fontId="0" fillId="3" borderId="9" xfId="1" applyNumberFormat="1" applyFont="1" applyFill="1" applyBorder="1" applyAlignment="1">
      <alignment horizontal="center"/>
    </xf>
    <xf numFmtId="10" fontId="0" fillId="0" borderId="9" xfId="1" applyNumberFormat="1" applyFont="1" applyFill="1" applyBorder="1" applyAlignment="1">
      <alignment horizontal="center"/>
    </xf>
    <xf numFmtId="5" fontId="11" fillId="0" borderId="23" xfId="0" applyNumberFormat="1" applyFont="1" applyBorder="1"/>
    <xf numFmtId="5" fontId="11" fillId="0" borderId="32" xfId="0" applyNumberFormat="1" applyFont="1" applyBorder="1"/>
    <xf numFmtId="167" fontId="7" fillId="0" borderId="0" xfId="0" applyNumberFormat="1" applyFont="1"/>
    <xf numFmtId="0" fontId="12" fillId="0" borderId="0" xfId="0" applyFont="1"/>
    <xf numFmtId="0" fontId="3" fillId="0" borderId="0" xfId="0" applyFont="1"/>
    <xf numFmtId="5" fontId="2" fillId="0" borderId="0" xfId="0" applyNumberFormat="1" applyFont="1"/>
    <xf numFmtId="10" fontId="2" fillId="0" borderId="0" xfId="0" applyNumberFormat="1" applyFont="1"/>
    <xf numFmtId="0" fontId="6" fillId="0" borderId="0" xfId="0" applyFont="1" applyAlignment="1">
      <alignment horizontal="center"/>
    </xf>
    <xf numFmtId="165" fontId="6" fillId="0" borderId="0" xfId="0" applyNumberFormat="1" applyFont="1" applyAlignment="1">
      <alignment horizontal="center"/>
    </xf>
    <xf numFmtId="0" fontId="6" fillId="0" borderId="0" xfId="0" applyFont="1"/>
    <xf numFmtId="170" fontId="7" fillId="0" borderId="32" xfId="3" applyNumberFormat="1" applyFont="1" applyBorder="1"/>
    <xf numFmtId="170" fontId="0" fillId="0" borderId="0" xfId="0" applyNumberFormat="1"/>
    <xf numFmtId="0" fontId="11" fillId="0" borderId="29" xfId="0" applyFont="1" applyBorder="1" applyAlignment="1">
      <alignment horizontal="center"/>
    </xf>
    <xf numFmtId="165" fontId="11" fillId="0" borderId="30" xfId="0" applyNumberFormat="1" applyFont="1" applyBorder="1" applyAlignment="1">
      <alignment horizontal="center"/>
    </xf>
    <xf numFmtId="0" fontId="7" fillId="0" borderId="38" xfId="0" applyFont="1" applyBorder="1"/>
    <xf numFmtId="3" fontId="13" fillId="0" borderId="9" xfId="0" applyNumberFormat="1" applyFont="1" applyBorder="1" applyAlignment="1">
      <alignment horizontal="center"/>
    </xf>
    <xf numFmtId="168" fontId="0" fillId="0" borderId="47" xfId="1" applyNumberFormat="1" applyFont="1" applyBorder="1"/>
    <xf numFmtId="168" fontId="0" fillId="0" borderId="48" xfId="1" applyNumberFormat="1" applyFont="1" applyBorder="1"/>
    <xf numFmtId="0" fontId="2" fillId="0" borderId="0" xfId="0" applyFont="1" applyAlignment="1">
      <alignment horizontal="center"/>
    </xf>
    <xf numFmtId="164" fontId="0" fillId="0" borderId="0" xfId="3" applyFont="1"/>
    <xf numFmtId="171" fontId="0" fillId="0" borderId="47" xfId="2" applyNumberFormat="1" applyFont="1" applyBorder="1"/>
    <xf numFmtId="171" fontId="0" fillId="0" borderId="47" xfId="0" applyNumberFormat="1" applyBorder="1"/>
    <xf numFmtId="0" fontId="0" fillId="0" borderId="45" xfId="0" applyBorder="1"/>
    <xf numFmtId="0" fontId="0" fillId="0" borderId="46" xfId="0" applyBorder="1"/>
    <xf numFmtId="0" fontId="0" fillId="0" borderId="45" xfId="0" applyBorder="1" applyAlignment="1">
      <alignment horizontal="center"/>
    </xf>
    <xf numFmtId="0" fontId="0" fillId="0" borderId="46" xfId="0" applyBorder="1" applyAlignment="1">
      <alignment horizontal="center"/>
    </xf>
    <xf numFmtId="0" fontId="0" fillId="0" borderId="15" xfId="0" applyBorder="1"/>
    <xf numFmtId="164" fontId="0" fillId="0" borderId="0" xfId="0" applyNumberFormat="1"/>
    <xf numFmtId="0" fontId="0" fillId="0" borderId="0" xfId="0" applyAlignment="1">
      <alignment horizontal="left"/>
    </xf>
    <xf numFmtId="171" fontId="0" fillId="0" borderId="0" xfId="0" applyNumberFormat="1"/>
    <xf numFmtId="0" fontId="2" fillId="0" borderId="44" xfId="0" applyFont="1" applyBorder="1" applyAlignment="1">
      <alignment horizontal="center" vertical="center"/>
    </xf>
    <xf numFmtId="0" fontId="2" fillId="0" borderId="14" xfId="0" applyFont="1" applyBorder="1" applyAlignment="1">
      <alignment horizontal="center" vertical="center"/>
    </xf>
    <xf numFmtId="0" fontId="11" fillId="0" borderId="27" xfId="0" applyFont="1" applyBorder="1" applyAlignment="1">
      <alignment vertical="center" wrapText="1"/>
    </xf>
    <xf numFmtId="0" fontId="11" fillId="0" borderId="43" xfId="0" applyFont="1" applyBorder="1" applyAlignment="1">
      <alignment horizontal="center" vertical="center" wrapText="1"/>
    </xf>
    <xf numFmtId="0" fontId="11" fillId="0" borderId="12" xfId="0" applyFont="1" applyBorder="1" applyAlignment="1">
      <alignment horizontal="center" vertical="center"/>
    </xf>
    <xf numFmtId="0" fontId="0" fillId="0" borderId="47" xfId="0" applyBorder="1"/>
    <xf numFmtId="0" fontId="0" fillId="0" borderId="43" xfId="0" applyBorder="1"/>
    <xf numFmtId="171" fontId="13" fillId="0" borderId="48" xfId="2" applyNumberFormat="1" applyFont="1" applyBorder="1"/>
    <xf numFmtId="164" fontId="13" fillId="0" borderId="47" xfId="3" applyFont="1" applyFill="1" applyBorder="1"/>
    <xf numFmtId="174" fontId="13" fillId="0" borderId="47" xfId="3" applyNumberFormat="1" applyFont="1" applyFill="1" applyBorder="1"/>
    <xf numFmtId="0" fontId="11" fillId="0" borderId="7" xfId="0" applyFont="1" applyBorder="1" applyAlignment="1">
      <alignment horizontal="center" vertical="center"/>
    </xf>
    <xf numFmtId="0" fontId="11" fillId="0" borderId="25" xfId="0" applyFont="1" applyBorder="1" applyAlignment="1">
      <alignment horizontal="center" vertical="center"/>
    </xf>
    <xf numFmtId="0" fontId="11" fillId="0" borderId="43" xfId="0" applyFont="1" applyBorder="1" applyAlignment="1">
      <alignment vertical="center" wrapText="1"/>
    </xf>
    <xf numFmtId="171" fontId="13" fillId="0" borderId="47" xfId="2" applyNumberFormat="1" applyFont="1" applyBorder="1"/>
    <xf numFmtId="171" fontId="13" fillId="0" borderId="0" xfId="2" applyNumberFormat="1" applyFont="1" applyBorder="1"/>
    <xf numFmtId="174" fontId="13" fillId="0" borderId="0" xfId="3" applyNumberFormat="1" applyFont="1" applyFill="1" applyBorder="1"/>
    <xf numFmtId="171" fontId="0" fillId="0" borderId="0" xfId="2" applyNumberFormat="1" applyFont="1" applyBorder="1"/>
    <xf numFmtId="173" fontId="0" fillId="0" borderId="23" xfId="1" applyNumberFormat="1" applyFont="1" applyBorder="1"/>
    <xf numFmtId="0" fontId="2" fillId="0" borderId="23" xfId="0" applyFont="1" applyBorder="1" applyAlignment="1">
      <alignment horizontal="center"/>
    </xf>
    <xf numFmtId="173" fontId="0" fillId="0" borderId="32" xfId="1" applyNumberFormat="1" applyFont="1" applyBorder="1"/>
    <xf numFmtId="0" fontId="13" fillId="0" borderId="0" xfId="0" applyFont="1" applyAlignment="1">
      <alignment horizontal="center"/>
    </xf>
    <xf numFmtId="0" fontId="11" fillId="0" borderId="0" xfId="0" applyFont="1" applyAlignment="1">
      <alignment horizontal="center"/>
    </xf>
    <xf numFmtId="166" fontId="13" fillId="0" borderId="0" xfId="0" applyNumberFormat="1" applyFont="1" applyAlignment="1">
      <alignment horizontal="center"/>
    </xf>
    <xf numFmtId="0" fontId="18" fillId="0" borderId="28" xfId="0" applyFont="1" applyBorder="1"/>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4" fillId="0" borderId="0" xfId="0" applyFont="1" applyAlignment="1">
      <alignment horizontal="center"/>
    </xf>
    <xf numFmtId="10" fontId="1" fillId="0" borderId="31" xfId="1" applyNumberFormat="1" applyBorder="1" applyAlignment="1">
      <alignment horizontal="center"/>
    </xf>
    <xf numFmtId="3" fontId="1" fillId="0" borderId="9" xfId="2" applyNumberFormat="1" applyBorder="1" applyAlignment="1">
      <alignment horizontal="center"/>
    </xf>
    <xf numFmtId="10" fontId="2" fillId="5" borderId="32" xfId="0" applyNumberFormat="1" applyFont="1" applyFill="1" applyBorder="1" applyAlignment="1">
      <alignment horizontal="center"/>
    </xf>
    <xf numFmtId="0" fontId="3" fillId="0" borderId="16" xfId="0" applyFont="1" applyBorder="1"/>
    <xf numFmtId="0" fontId="3" fillId="0" borderId="9" xfId="0" applyFont="1" applyBorder="1"/>
    <xf numFmtId="0" fontId="3" fillId="0" borderId="31" xfId="0" applyFont="1" applyBorder="1"/>
    <xf numFmtId="0" fontId="19" fillId="0" borderId="0" xfId="0" applyFont="1"/>
    <xf numFmtId="0" fontId="3" fillId="0" borderId="0" xfId="0" applyFont="1" applyAlignment="1">
      <alignment horizontal="center"/>
    </xf>
    <xf numFmtId="170" fontId="3" fillId="0" borderId="0" xfId="0" applyNumberFormat="1" applyFont="1"/>
    <xf numFmtId="0" fontId="13" fillId="0" borderId="23" xfId="0" applyFont="1" applyBorder="1" applyAlignment="1">
      <alignment horizontal="center"/>
    </xf>
    <xf numFmtId="10" fontId="13" fillId="0" borderId="32" xfId="1" applyNumberFormat="1" applyFont="1" applyBorder="1" applyAlignment="1">
      <alignment horizontal="center"/>
    </xf>
    <xf numFmtId="167" fontId="1" fillId="0" borderId="9" xfId="11" applyNumberFormat="1" applyBorder="1"/>
    <xf numFmtId="167" fontId="18" fillId="0" borderId="23" xfId="0" applyNumberFormat="1" applyFont="1" applyBorder="1"/>
    <xf numFmtId="167" fontId="18" fillId="0" borderId="32" xfId="0" applyNumberFormat="1" applyFont="1" applyBorder="1"/>
    <xf numFmtId="167" fontId="11" fillId="0" borderId="31" xfId="2" applyNumberFormat="1" applyFont="1" applyBorder="1"/>
    <xf numFmtId="167" fontId="11" fillId="0" borderId="23" xfId="2" applyNumberFormat="1" applyFont="1" applyBorder="1"/>
    <xf numFmtId="167" fontId="13" fillId="0" borderId="9" xfId="2" applyNumberFormat="1" applyFont="1" applyBorder="1"/>
    <xf numFmtId="0" fontId="20" fillId="0" borderId="0" xfId="0" applyFont="1"/>
    <xf numFmtId="0" fontId="13" fillId="0" borderId="0" xfId="0" applyFont="1"/>
    <xf numFmtId="0" fontId="13" fillId="0" borderId="9" xfId="0" applyFont="1" applyBorder="1" applyAlignment="1">
      <alignment horizontal="center"/>
    </xf>
    <xf numFmtId="168" fontId="13" fillId="0" borderId="9" xfId="1" applyNumberFormat="1" applyFont="1" applyBorder="1" applyAlignment="1">
      <alignment horizontal="center"/>
    </xf>
    <xf numFmtId="167" fontId="13" fillId="0" borderId="9" xfId="2" applyNumberFormat="1" applyFont="1" applyFill="1" applyBorder="1"/>
    <xf numFmtId="167" fontId="13" fillId="0" borderId="31" xfId="0" applyNumberFormat="1" applyFont="1" applyBorder="1"/>
    <xf numFmtId="0" fontId="13" fillId="0" borderId="6" xfId="0" applyFont="1" applyBorder="1"/>
    <xf numFmtId="0" fontId="13" fillId="0" borderId="10" xfId="0" applyFont="1" applyBorder="1"/>
    <xf numFmtId="0" fontId="13" fillId="0" borderId="11" xfId="0" applyFont="1" applyBorder="1"/>
    <xf numFmtId="0" fontId="13" fillId="0" borderId="18" xfId="0" applyFont="1" applyBorder="1"/>
    <xf numFmtId="165" fontId="13" fillId="0" borderId="10" xfId="2" applyFont="1" applyBorder="1" applyAlignment="1">
      <alignment horizontal="center"/>
    </xf>
    <xf numFmtId="167" fontId="13" fillId="0" borderId="25" xfId="2" applyNumberFormat="1" applyFont="1" applyBorder="1" applyAlignment="1">
      <alignment horizontal="center"/>
    </xf>
    <xf numFmtId="1" fontId="13" fillId="3" borderId="9" xfId="0" applyNumberFormat="1" applyFont="1" applyFill="1" applyBorder="1" applyAlignment="1">
      <alignment horizontal="center"/>
    </xf>
    <xf numFmtId="167" fontId="13" fillId="3" borderId="9" xfId="2" applyNumberFormat="1" applyFont="1" applyFill="1" applyBorder="1"/>
    <xf numFmtId="167" fontId="13" fillId="4" borderId="9" xfId="2" applyNumberFormat="1" applyFont="1" applyFill="1" applyBorder="1"/>
    <xf numFmtId="1" fontId="13" fillId="0" borderId="9" xfId="0" applyNumberFormat="1" applyFont="1" applyBorder="1" applyAlignment="1">
      <alignment horizontal="center"/>
    </xf>
    <xf numFmtId="165" fontId="13" fillId="0" borderId="9" xfId="2" applyFont="1" applyBorder="1"/>
    <xf numFmtId="166" fontId="13" fillId="0" borderId="9" xfId="2" applyNumberFormat="1" applyFont="1" applyBorder="1"/>
    <xf numFmtId="165" fontId="13" fillId="0" borderId="9" xfId="2" applyFont="1" applyFill="1" applyBorder="1"/>
    <xf numFmtId="166" fontId="13" fillId="0" borderId="9" xfId="2" applyNumberFormat="1" applyFont="1" applyFill="1" applyBorder="1"/>
    <xf numFmtId="167" fontId="13" fillId="0" borderId="9" xfId="2" applyNumberFormat="1" applyFont="1" applyBorder="1" applyAlignment="1">
      <alignment horizontal="center"/>
    </xf>
    <xf numFmtId="167" fontId="13" fillId="0" borderId="31" xfId="2" applyNumberFormat="1" applyFont="1" applyBorder="1" applyAlignment="1">
      <alignment horizontal="center"/>
    </xf>
    <xf numFmtId="4" fontId="13" fillId="0" borderId="9" xfId="1" applyNumberFormat="1" applyFont="1" applyFill="1" applyBorder="1" applyAlignment="1">
      <alignment horizontal="center"/>
    </xf>
    <xf numFmtId="175" fontId="13" fillId="0" borderId="9" xfId="1" applyNumberFormat="1" applyFont="1" applyBorder="1" applyAlignment="1">
      <alignment horizontal="center"/>
    </xf>
    <xf numFmtId="10" fontId="13" fillId="0" borderId="31" xfId="1" applyNumberFormat="1" applyFont="1" applyFill="1" applyBorder="1" applyAlignment="1">
      <alignment horizontal="center"/>
    </xf>
    <xf numFmtId="10" fontId="20" fillId="0" borderId="31" xfId="1" applyNumberFormat="1" applyFont="1" applyFill="1" applyBorder="1" applyAlignment="1">
      <alignment horizontal="center"/>
    </xf>
    <xf numFmtId="176" fontId="0" fillId="3" borderId="9" xfId="2" applyNumberFormat="1" applyFont="1" applyFill="1" applyBorder="1"/>
    <xf numFmtId="168" fontId="3" fillId="0" borderId="0" xfId="1" applyNumberFormat="1" applyFont="1"/>
    <xf numFmtId="10" fontId="0" fillId="0" borderId="31" xfId="1" applyNumberFormat="1" applyFont="1" applyFill="1" applyBorder="1" applyAlignment="1">
      <alignment horizontal="center"/>
    </xf>
    <xf numFmtId="10" fontId="10" fillId="0" borderId="31" xfId="1" applyNumberFormat="1" applyFont="1" applyFill="1" applyBorder="1" applyAlignment="1">
      <alignment horizontal="center"/>
    </xf>
    <xf numFmtId="10" fontId="0" fillId="0" borderId="32" xfId="1" applyNumberFormat="1" applyFont="1" applyFill="1" applyBorder="1" applyAlignment="1">
      <alignment horizontal="center"/>
    </xf>
    <xf numFmtId="165" fontId="13" fillId="3" borderId="9" xfId="2" applyFont="1" applyFill="1" applyBorder="1"/>
    <xf numFmtId="176" fontId="13" fillId="3" borderId="9" xfId="2" applyNumberFormat="1" applyFont="1" applyFill="1" applyBorder="1"/>
    <xf numFmtId="0" fontId="3" fillId="0" borderId="0" xfId="0" applyFont="1" applyAlignment="1">
      <alignment horizontal="right"/>
    </xf>
    <xf numFmtId="5" fontId="3" fillId="0" borderId="0" xfId="0" applyNumberFormat="1" applyFont="1" applyAlignment="1">
      <alignment horizontal="left"/>
    </xf>
    <xf numFmtId="0" fontId="3" fillId="0" borderId="0" xfId="0" applyFont="1" applyAlignment="1">
      <alignment horizontal="left"/>
    </xf>
    <xf numFmtId="4" fontId="13" fillId="0" borderId="9" xfId="2" applyNumberFormat="1" applyFont="1" applyFill="1" applyBorder="1" applyAlignment="1">
      <alignment horizontal="center"/>
    </xf>
    <xf numFmtId="175" fontId="13" fillId="0" borderId="9" xfId="2" applyNumberFormat="1" applyFont="1" applyFill="1" applyBorder="1" applyAlignment="1">
      <alignment horizontal="center"/>
    </xf>
    <xf numFmtId="168" fontId="0" fillId="0" borderId="0" xfId="1" applyNumberFormat="1" applyFont="1"/>
    <xf numFmtId="0" fontId="2" fillId="0" borderId="49" xfId="0" applyFont="1" applyBorder="1"/>
    <xf numFmtId="0" fontId="0" fillId="0" borderId="50" xfId="0" applyBorder="1"/>
    <xf numFmtId="3" fontId="0" fillId="0" borderId="50" xfId="0" applyNumberFormat="1" applyBorder="1" applyAlignment="1">
      <alignment horizontal="center"/>
    </xf>
    <xf numFmtId="0" fontId="0" fillId="4" borderId="50" xfId="0" applyFill="1" applyBorder="1"/>
    <xf numFmtId="167" fontId="11" fillId="0" borderId="50" xfId="0" applyNumberFormat="1" applyFont="1" applyBorder="1"/>
    <xf numFmtId="167" fontId="11" fillId="0" borderId="51" xfId="0" applyNumberFormat="1" applyFont="1" applyBorder="1"/>
    <xf numFmtId="0" fontId="11" fillId="0" borderId="22" xfId="0" applyFont="1" applyBorder="1"/>
    <xf numFmtId="3" fontId="13" fillId="0" borderId="23" xfId="0" applyNumberFormat="1" applyFont="1" applyBorder="1" applyAlignment="1">
      <alignment horizontal="center"/>
    </xf>
    <xf numFmtId="4" fontId="13" fillId="0" borderId="23" xfId="1" applyNumberFormat="1" applyFont="1" applyFill="1" applyBorder="1" applyAlignment="1">
      <alignment horizontal="center"/>
    </xf>
    <xf numFmtId="175" fontId="13" fillId="0" borderId="23" xfId="1" applyNumberFormat="1" applyFont="1" applyBorder="1" applyAlignment="1">
      <alignment horizontal="center"/>
    </xf>
    <xf numFmtId="4" fontId="13" fillId="0" borderId="23" xfId="2" applyNumberFormat="1" applyFont="1" applyFill="1" applyBorder="1" applyAlignment="1">
      <alignment horizontal="center"/>
    </xf>
    <xf numFmtId="175" fontId="13" fillId="0" borderId="23" xfId="2" applyNumberFormat="1" applyFont="1" applyFill="1" applyBorder="1" applyAlignment="1">
      <alignment horizontal="center"/>
    </xf>
    <xf numFmtId="167" fontId="13" fillId="0" borderId="23" xfId="2" applyNumberFormat="1" applyFont="1" applyBorder="1" applyAlignment="1">
      <alignment horizontal="center"/>
    </xf>
    <xf numFmtId="167" fontId="13" fillId="0" borderId="32" xfId="2" applyNumberFormat="1" applyFont="1" applyBorder="1" applyAlignment="1">
      <alignment horizontal="center"/>
    </xf>
    <xf numFmtId="3" fontId="0" fillId="0" borderId="9" xfId="0" applyNumberFormat="1" applyBorder="1" applyAlignment="1">
      <alignment horizontal="center"/>
    </xf>
    <xf numFmtId="167" fontId="0" fillId="0" borderId="9" xfId="2" applyNumberFormat="1" applyFont="1" applyFill="1" applyBorder="1"/>
    <xf numFmtId="165" fontId="0" fillId="0" borderId="9" xfId="2" applyFont="1" applyFill="1" applyBorder="1"/>
    <xf numFmtId="166" fontId="0" fillId="0" borderId="9" xfId="2" applyNumberFormat="1" applyFont="1" applyFill="1" applyBorder="1"/>
    <xf numFmtId="0" fontId="2" fillId="0" borderId="23" xfId="0" applyFont="1" applyBorder="1"/>
    <xf numFmtId="168" fontId="0" fillId="0" borderId="52" xfId="1" applyNumberFormat="1" applyFont="1" applyFill="1" applyBorder="1"/>
    <xf numFmtId="10" fontId="7" fillId="6" borderId="31" xfId="1" applyNumberFormat="1" applyFont="1" applyFill="1" applyBorder="1" applyAlignment="1">
      <alignment horizontal="center"/>
    </xf>
    <xf numFmtId="0" fontId="21" fillId="0" borderId="0" xfId="0" applyFont="1"/>
    <xf numFmtId="168" fontId="21" fillId="0" borderId="0" xfId="1" applyNumberFormat="1" applyFont="1"/>
    <xf numFmtId="164" fontId="0" fillId="0" borderId="29" xfId="12" applyFont="1" applyBorder="1"/>
    <xf numFmtId="164" fontId="0" fillId="0" borderId="30" xfId="12" applyFont="1" applyBorder="1"/>
    <xf numFmtId="165" fontId="13" fillId="7" borderId="11" xfId="2" applyFont="1" applyFill="1" applyBorder="1"/>
    <xf numFmtId="0" fontId="13" fillId="7" borderId="18" xfId="0" applyFont="1" applyFill="1" applyBorder="1"/>
    <xf numFmtId="0" fontId="3" fillId="7" borderId="0" xfId="0" applyFont="1" applyFill="1"/>
    <xf numFmtId="0" fontId="3" fillId="7" borderId="19" xfId="0" applyFont="1" applyFill="1" applyBorder="1"/>
    <xf numFmtId="165" fontId="13" fillId="7" borderId="20" xfId="2" applyFont="1" applyFill="1" applyBorder="1"/>
    <xf numFmtId="166" fontId="13" fillId="7" borderId="11" xfId="2" applyNumberFormat="1" applyFont="1" applyFill="1" applyBorder="1"/>
    <xf numFmtId="0" fontId="3" fillId="7" borderId="10" xfId="0" applyFont="1" applyFill="1" applyBorder="1"/>
    <xf numFmtId="166" fontId="3" fillId="7" borderId="11" xfId="2" applyNumberFormat="1" applyFont="1" applyFill="1" applyBorder="1"/>
    <xf numFmtId="0" fontId="3" fillId="7" borderId="11" xfId="0" applyFont="1" applyFill="1" applyBorder="1"/>
    <xf numFmtId="0" fontId="13" fillId="7" borderId="11" xfId="0" applyFont="1" applyFill="1" applyBorder="1"/>
    <xf numFmtId="43" fontId="13" fillId="7" borderId="11" xfId="0" applyNumberFormat="1" applyFont="1" applyFill="1" applyBorder="1"/>
    <xf numFmtId="167" fontId="13" fillId="7" borderId="26" xfId="2" applyNumberFormat="1" applyFont="1" applyFill="1" applyBorder="1"/>
    <xf numFmtId="0" fontId="13" fillId="7" borderId="27" xfId="0" applyFont="1" applyFill="1" applyBorder="1"/>
    <xf numFmtId="0" fontId="3" fillId="7" borderId="26" xfId="0" applyFont="1" applyFill="1" applyBorder="1"/>
    <xf numFmtId="0" fontId="3" fillId="7" borderId="25" xfId="0" applyFont="1" applyFill="1" applyBorder="1"/>
    <xf numFmtId="0" fontId="0" fillId="7" borderId="0" xfId="0" applyFill="1"/>
    <xf numFmtId="164" fontId="0" fillId="0" borderId="0" xfId="12" applyFont="1"/>
    <xf numFmtId="177" fontId="0" fillId="0" borderId="0" xfId="12" applyNumberFormat="1" applyFont="1" applyFill="1" applyAlignment="1">
      <alignment horizontal="center"/>
    </xf>
    <xf numFmtId="0" fontId="0" fillId="0" borderId="0" xfId="0" quotePrefix="1"/>
    <xf numFmtId="165" fontId="0" fillId="0" borderId="0" xfId="0" applyNumberFormat="1"/>
    <xf numFmtId="0" fontId="4" fillId="0" borderId="0" xfId="0" applyFont="1" applyAlignment="1">
      <alignment horizontal="center"/>
    </xf>
    <xf numFmtId="0" fontId="4" fillId="0" borderId="0" xfId="0" quotePrefix="1" applyFont="1" applyAlignment="1">
      <alignment horizontal="center"/>
    </xf>
    <xf numFmtId="0" fontId="4" fillId="0" borderId="0" xfId="0" applyFont="1" applyAlignment="1">
      <alignment horizontal="center" wrapText="1"/>
    </xf>
    <xf numFmtId="0" fontId="4" fillId="0" borderId="0" xfId="0" quotePrefix="1" applyFont="1" applyAlignment="1">
      <alignment horizontal="center" wrapText="1"/>
    </xf>
    <xf numFmtId="15" fontId="4" fillId="7" borderId="0" xfId="0" quotePrefix="1" applyNumberFormat="1" applyFont="1" applyFill="1" applyAlignment="1">
      <alignment horizontal="center" wrapText="1"/>
    </xf>
    <xf numFmtId="0" fontId="4" fillId="7" borderId="0" xfId="0" quotePrefix="1" applyFont="1" applyFill="1" applyAlignment="1">
      <alignment horizontal="center" wrapText="1"/>
    </xf>
    <xf numFmtId="0" fontId="5" fillId="0" borderId="0" xfId="0" applyFont="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 xfId="0" applyFont="1" applyBorder="1" applyAlignment="1">
      <alignment horizontal="center" wrapText="1"/>
    </xf>
    <xf numFmtId="0" fontId="6" fillId="0" borderId="2" xfId="0" applyFont="1" applyBorder="1" applyAlignment="1">
      <alignment horizontal="center" wrapText="1"/>
    </xf>
    <xf numFmtId="0" fontId="6" fillId="0" borderId="15" xfId="0" applyFont="1" applyBorder="1" applyAlignment="1">
      <alignment horizont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8" xfId="0" applyFont="1" applyBorder="1" applyAlignment="1">
      <alignment horizontal="center" vertical="center" wrapText="1"/>
    </xf>
    <xf numFmtId="0" fontId="6" fillId="0" borderId="0" xfId="0" applyFont="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7" xfId="0" applyFont="1" applyBorder="1" applyAlignment="1">
      <alignment horizontal="center"/>
    </xf>
    <xf numFmtId="0" fontId="6" fillId="0" borderId="6" xfId="0" applyFont="1" applyBorder="1" applyAlignment="1">
      <alignment horizontal="center"/>
    </xf>
    <xf numFmtId="0" fontId="6" fillId="0" borderId="8" xfId="0" applyFont="1" applyBorder="1" applyAlignment="1">
      <alignment horizontal="center"/>
    </xf>
    <xf numFmtId="0" fontId="2" fillId="0" borderId="9" xfId="0" applyFont="1" applyBorder="1" applyAlignment="1">
      <alignment horizontal="center" wrapText="1"/>
    </xf>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6" fillId="0" borderId="7" xfId="0" applyFont="1" applyBorder="1" applyAlignment="1">
      <alignment horizontal="center" wrapText="1"/>
    </xf>
    <xf numFmtId="0" fontId="6" fillId="0" borderId="6" xfId="0" applyFont="1" applyBorder="1" applyAlignment="1">
      <alignment horizontal="center" wrapText="1"/>
    </xf>
    <xf numFmtId="0" fontId="6" fillId="0" borderId="8" xfId="0" applyFont="1" applyBorder="1" applyAlignment="1">
      <alignment horizontal="center" wrapText="1"/>
    </xf>
    <xf numFmtId="0" fontId="11" fillId="0" borderId="10" xfId="0" applyFont="1" applyBorder="1" applyAlignment="1">
      <alignment horizontal="center"/>
    </xf>
    <xf numFmtId="0" fontId="11" fillId="0" borderId="11" xfId="0" applyFont="1" applyBorder="1" applyAlignment="1">
      <alignment horizontal="center"/>
    </xf>
    <xf numFmtId="0" fontId="11" fillId="0" borderId="18" xfId="0" applyFont="1" applyBorder="1" applyAlignment="1">
      <alignment horizontal="center"/>
    </xf>
    <xf numFmtId="0" fontId="11" fillId="0" borderId="33" xfId="0" applyFont="1" applyBorder="1" applyAlignment="1">
      <alignment horizontal="center" vertical="center"/>
    </xf>
    <xf numFmtId="0" fontId="11" fillId="0" borderId="36"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center" vertical="center"/>
    </xf>
    <xf numFmtId="0" fontId="11" fillId="0" borderId="34" xfId="0" applyFont="1" applyBorder="1" applyAlignment="1">
      <alignment horizontal="center" wrapText="1"/>
    </xf>
    <xf numFmtId="0" fontId="11" fillId="0" borderId="37" xfId="0" applyFont="1" applyBorder="1" applyAlignment="1">
      <alignment horizontal="center" wrapText="1"/>
    </xf>
    <xf numFmtId="0" fontId="11" fillId="0" borderId="17" xfId="0" applyFont="1" applyBorder="1" applyAlignment="1">
      <alignment horizontal="center"/>
    </xf>
    <xf numFmtId="0" fontId="11" fillId="0" borderId="35"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16" xfId="0" applyFont="1" applyBorder="1" applyAlignment="1">
      <alignment horizontal="center"/>
    </xf>
    <xf numFmtId="0" fontId="7" fillId="0" borderId="9" xfId="0" applyFont="1" applyBorder="1" applyAlignment="1">
      <alignment horizontal="center"/>
    </xf>
    <xf numFmtId="0" fontId="7" fillId="0" borderId="31" xfId="0" applyFont="1" applyBorder="1" applyAlignment="1">
      <alignment horizontal="center"/>
    </xf>
    <xf numFmtId="0" fontId="7" fillId="0" borderId="10" xfId="0" applyFont="1" applyBorder="1" applyAlignment="1">
      <alignment horizontal="center"/>
    </xf>
    <xf numFmtId="0" fontId="7" fillId="0" borderId="11" xfId="0" applyFont="1" applyBorder="1" applyAlignment="1">
      <alignment horizontal="center"/>
    </xf>
    <xf numFmtId="0" fontId="7" fillId="0" borderId="35" xfId="0" applyFont="1" applyBorder="1" applyAlignment="1">
      <alignment horizontal="center"/>
    </xf>
    <xf numFmtId="0" fontId="7" fillId="0" borderId="16" xfId="0" applyFont="1" applyBorder="1" applyAlignment="1">
      <alignment horizontal="center" vertical="center"/>
    </xf>
    <xf numFmtId="0" fontId="7" fillId="0" borderId="9" xfId="0" applyFont="1" applyBorder="1" applyAlignment="1">
      <alignment horizontal="center" vertical="center"/>
    </xf>
    <xf numFmtId="0" fontId="7" fillId="0" borderId="34"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22" xfId="0" applyFont="1" applyBorder="1" applyAlignment="1">
      <alignment horizontal="left"/>
    </xf>
    <xf numFmtId="0" fontId="7" fillId="0" borderId="23" xfId="0" applyFont="1" applyBorder="1" applyAlignment="1">
      <alignment horizontal="left"/>
    </xf>
    <xf numFmtId="0" fontId="7" fillId="0" borderId="10" xfId="0" applyFont="1" applyBorder="1" applyAlignment="1">
      <alignment horizontal="left"/>
    </xf>
    <xf numFmtId="0" fontId="7" fillId="0" borderId="11" xfId="0" applyFont="1" applyBorder="1" applyAlignment="1">
      <alignment horizontal="left"/>
    </xf>
    <xf numFmtId="0" fontId="7" fillId="0" borderId="35" xfId="0" applyFont="1" applyBorder="1" applyAlignment="1">
      <alignment horizontal="left"/>
    </xf>
    <xf numFmtId="0" fontId="11" fillId="0" borderId="28" xfId="0" applyFont="1" applyBorder="1" applyAlignment="1">
      <alignment horizontal="center"/>
    </xf>
    <xf numFmtId="0" fontId="11" fillId="0" borderId="29" xfId="0" applyFont="1" applyBorder="1" applyAlignment="1">
      <alignment horizontal="center"/>
    </xf>
    <xf numFmtId="0" fontId="13" fillId="0" borderId="16" xfId="0" applyFont="1" applyBorder="1" applyAlignment="1">
      <alignment horizontal="left"/>
    </xf>
    <xf numFmtId="0" fontId="13" fillId="0" borderId="9" xfId="0" applyFont="1" applyBorder="1" applyAlignment="1">
      <alignment horizontal="left"/>
    </xf>
    <xf numFmtId="0" fontId="11" fillId="0" borderId="39" xfId="0" applyFont="1" applyBorder="1" applyAlignment="1">
      <alignment horizontal="left"/>
    </xf>
    <xf numFmtId="0" fontId="11" fillId="0" borderId="40" xfId="0" applyFont="1" applyBorder="1" applyAlignment="1">
      <alignment horizontal="left"/>
    </xf>
    <xf numFmtId="0" fontId="11" fillId="0" borderId="41" xfId="0" applyFont="1" applyBorder="1" applyAlignment="1">
      <alignment horizontal="left"/>
    </xf>
    <xf numFmtId="0" fontId="9" fillId="0" borderId="12" xfId="0" applyFont="1" applyBorder="1" applyAlignment="1">
      <alignment horizontal="center" wrapText="1"/>
    </xf>
    <xf numFmtId="0" fontId="9" fillId="0" borderId="13" xfId="0" applyFont="1" applyBorder="1" applyAlignment="1">
      <alignment horizontal="center" wrapText="1"/>
    </xf>
    <xf numFmtId="0" fontId="9" fillId="0" borderId="14" xfId="0" applyFont="1" applyBorder="1" applyAlignment="1">
      <alignment horizontal="center" wrapText="1"/>
    </xf>
    <xf numFmtId="0" fontId="0" fillId="0" borderId="0" xfId="0" applyAlignment="1">
      <alignment horizontal="left" vertical="top" wrapText="1"/>
    </xf>
    <xf numFmtId="0" fontId="0" fillId="0" borderId="0" xfId="0" applyAlignment="1">
      <alignment horizontal="left"/>
    </xf>
    <xf numFmtId="0" fontId="11" fillId="0" borderId="1" xfId="0" applyFont="1" applyBorder="1" applyAlignment="1">
      <alignment horizontal="center"/>
    </xf>
    <xf numFmtId="0" fontId="11" fillId="0" borderId="2" xfId="0" applyFont="1" applyBorder="1" applyAlignment="1">
      <alignment horizontal="center"/>
    </xf>
    <xf numFmtId="0" fontId="11" fillId="0" borderId="15" xfId="0" applyFont="1" applyBorder="1" applyAlignment="1">
      <alignment horizont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11" fillId="0" borderId="9" xfId="0" applyFont="1" applyBorder="1" applyAlignment="1">
      <alignment horizontal="center" wrapText="1"/>
    </xf>
    <xf numFmtId="0" fontId="11" fillId="0" borderId="34" xfId="0" applyFont="1" applyBorder="1" applyAlignment="1">
      <alignment horizontal="center"/>
    </xf>
    <xf numFmtId="0" fontId="11" fillId="0" borderId="37" xfId="0" applyFont="1" applyBorder="1" applyAlignment="1">
      <alignment horizont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0" fillId="0" borderId="0" xfId="0" applyAlignment="1">
      <alignment horizontal="right"/>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2" fillId="0" borderId="0" xfId="0" applyFont="1" applyAlignment="1">
      <alignment horizontal="left"/>
    </xf>
    <xf numFmtId="0" fontId="16" fillId="0" borderId="0" xfId="0" applyFont="1" applyAlignment="1">
      <alignment horizont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13" xfId="0" applyFont="1" applyBorder="1" applyAlignment="1">
      <alignment horizontal="center" vertical="center" wrapText="1"/>
    </xf>
  </cellXfs>
  <cellStyles count="13">
    <cellStyle name="Comma" xfId="11" builtinId="3"/>
    <cellStyle name="Comma 2" xfId="2" xr:uid="{7BE898D3-340C-4B9E-A1F6-C757EE20C23B}"/>
    <cellStyle name="Comma 2 11" xfId="6" xr:uid="{877D0614-2CC4-4242-81EB-95D752FB48CF}"/>
    <cellStyle name="Comma 3" xfId="8" xr:uid="{974591EE-19F2-4158-931B-B8A3B260F9CE}"/>
    <cellStyle name="Currency" xfId="12" builtinId="4"/>
    <cellStyle name="Currency 2" xfId="3" xr:uid="{732C39E1-518E-4DE7-ADAD-AE5E6BC9C08B}"/>
    <cellStyle name="Currency 2 10" xfId="7" xr:uid="{CA904D9A-663F-4E4C-962F-2F88BCB59405}"/>
    <cellStyle name="Normal" xfId="0" builtinId="0"/>
    <cellStyle name="Normal 2 2 3" xfId="4" xr:uid="{58841765-0DA8-41B1-B85C-E1B0E71F54CB}"/>
    <cellStyle name="Normal 76" xfId="5" xr:uid="{8097078B-F0B8-486B-A4AD-BDC9C88CC75A}"/>
    <cellStyle name="Percent" xfId="1" builtinId="5"/>
    <cellStyle name="Percent 10 2 2" xfId="9" xr:uid="{937C59EE-86CA-4EF2-9B83-BBE37C02ED7D}"/>
    <cellStyle name="Percent 2" xfId="10" xr:uid="{F717EAAD-4A70-4375-B8DB-5DE5D89B5250}"/>
  </cellStyles>
  <dxfs count="0"/>
  <tableStyles count="0" defaultTableStyle="TableStyleMedium2" defaultPivotStyle="PivotStyleLight16"/>
  <colors>
    <mruColors>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381000</xdr:colOff>
      <xdr:row>8</xdr:row>
      <xdr:rowOff>114300</xdr:rowOff>
    </xdr:from>
    <xdr:to>
      <xdr:col>8</xdr:col>
      <xdr:colOff>800100</xdr:colOff>
      <xdr:row>12</xdr:row>
      <xdr:rowOff>152400</xdr:rowOff>
    </xdr:to>
    <xdr:pic>
      <xdr:nvPicPr>
        <xdr:cNvPr id="2" name="Picture 1" descr="Algoma Power_logo">
          <a:extLst>
            <a:ext uri="{FF2B5EF4-FFF2-40B4-BE49-F238E27FC236}">
              <a16:creationId xmlns:a16="http://schemas.microsoft.com/office/drawing/2014/main" id="{85516A2B-2EEF-449F-9EC9-E241E128A28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71825" y="1638300"/>
          <a:ext cx="2857500" cy="8001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5.%20TESI%20UTILITIES\ORPC\Application\Models\FInal%20Models\EB-2014-0105%202016%20ORPC%20Filing_Requirements_Chapter2_Appendices_Aug%2028%202015.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Users\Manuela\Documents\TANDEM%20ENERGY%20SERVICES%20INC\Documents\Hearst\RateMaker\Hearst_RMpils%202010EDR.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2.%20TESI%20CODES%20&amp;%20POLICIES\Minimum%20Filing%20Requirements\2017%20Minimum%20Filing%20Requirements\2017_Filing_Requirements_Chapter2_Appendice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imda\Downloads\Appendices_removed.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1\Departments\API%202015%20REG%20COS\Chap_2_App\Filing_Requirements_Chapter2_Appendices_for%202014.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iskstation\tesi\Users\Manuela\AppData\Local\Microsoft\Windows\Temporary%20Internet%20Files\Content.Outlook\7VFETQWL\CHEC_Rate%20Design%20Master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iskstation\tesi\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Index"/>
      <sheetName val="COS Flowchart"/>
      <sheetName val="List of Key References"/>
      <sheetName val="App.2-AA_Capital Projects 2010"/>
      <sheetName val="App.2-AA_Capital Projects 2011"/>
      <sheetName val="App.2-AA_Capital Projects 2012"/>
      <sheetName val="App.2-AA_Capital Projects 2013"/>
      <sheetName val="App.2-AA_Capital Projects 2014"/>
      <sheetName val="App.2-AA_Capital Projects 2015"/>
      <sheetName val="App.2-AA_Capital Projects 2016"/>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efreshError="1">
        <row r="24">
          <cell r="E24">
            <v>2016</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3">
          <cell r="C13" t="str">
            <v>v1.02</v>
          </cell>
        </row>
      </sheetData>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24">
          <cell r="E24">
            <v>2017</v>
          </cell>
        </row>
        <row r="26">
          <cell r="E26">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448C5-14DD-474D-8760-7C8E52D64281}">
  <sheetPr>
    <tabColor theme="9"/>
    <pageSetUpPr fitToPage="1"/>
  </sheetPr>
  <dimension ref="B20:I34"/>
  <sheetViews>
    <sheetView showGridLines="0" topLeftCell="A13" workbookViewId="0">
      <selection activeCell="M27" sqref="M27"/>
    </sheetView>
  </sheetViews>
  <sheetFormatPr defaultColWidth="9.140625" defaultRowHeight="15" x14ac:dyDescent="0.25"/>
  <cols>
    <col min="1" max="1" width="5" customWidth="1"/>
    <col min="2" max="2" width="18.7109375" customWidth="1"/>
    <col min="9" max="9" width="47" customWidth="1"/>
  </cols>
  <sheetData>
    <row r="20" spans="2:9" ht="33.75" x14ac:dyDescent="0.5">
      <c r="B20" s="211" t="s">
        <v>0</v>
      </c>
      <c r="C20" s="211"/>
      <c r="D20" s="211"/>
      <c r="E20" s="211"/>
      <c r="F20" s="211"/>
      <c r="G20" s="211"/>
      <c r="H20" s="211"/>
      <c r="I20" s="211"/>
    </row>
    <row r="21" spans="2:9" ht="33.75" x14ac:dyDescent="0.5">
      <c r="B21" s="211" t="s">
        <v>113</v>
      </c>
      <c r="C21" s="211"/>
      <c r="D21" s="211"/>
      <c r="E21" s="211"/>
      <c r="F21" s="211"/>
      <c r="G21" s="211"/>
      <c r="H21" s="211"/>
      <c r="I21" s="211"/>
    </row>
    <row r="22" spans="2:9" ht="33.75" x14ac:dyDescent="0.5">
      <c r="B22" s="211" t="s">
        <v>1</v>
      </c>
      <c r="C22" s="211"/>
      <c r="D22" s="211"/>
      <c r="E22" s="211"/>
      <c r="F22" s="211"/>
      <c r="G22" s="211"/>
      <c r="H22" s="211"/>
      <c r="I22" s="211"/>
    </row>
    <row r="25" spans="2:9" ht="31.5" x14ac:dyDescent="0.5">
      <c r="B25" s="217" t="s">
        <v>2</v>
      </c>
      <c r="C25" s="217"/>
      <c r="D25" s="217"/>
      <c r="E25" s="217"/>
      <c r="F25" s="217"/>
      <c r="G25" s="217"/>
      <c r="H25" s="217"/>
      <c r="I25" s="217"/>
    </row>
    <row r="26" spans="2:9" ht="33.75" x14ac:dyDescent="0.5">
      <c r="B26" s="211" t="s">
        <v>114</v>
      </c>
      <c r="C26" s="211"/>
      <c r="D26" s="211"/>
      <c r="E26" s="211"/>
      <c r="F26" s="211"/>
      <c r="G26" s="211"/>
      <c r="H26" s="211"/>
      <c r="I26" s="211"/>
    </row>
    <row r="27" spans="2:9" ht="33.75" x14ac:dyDescent="0.5">
      <c r="B27" s="211"/>
      <c r="C27" s="212"/>
      <c r="D27" s="212"/>
      <c r="E27" s="212"/>
      <c r="F27" s="212"/>
      <c r="G27" s="212"/>
      <c r="H27" s="212"/>
      <c r="I27" s="212"/>
    </row>
    <row r="28" spans="2:9" ht="33.75" x14ac:dyDescent="0.5">
      <c r="B28" s="213"/>
      <c r="C28" s="214"/>
      <c r="D28" s="214"/>
      <c r="E28" s="214"/>
      <c r="F28" s="214"/>
      <c r="G28" s="214"/>
      <c r="H28" s="214"/>
      <c r="I28" s="214"/>
    </row>
    <row r="29" spans="2:9" ht="33.75" x14ac:dyDescent="0.5">
      <c r="B29" s="215" t="s">
        <v>144</v>
      </c>
      <c r="C29" s="216"/>
      <c r="D29" s="216"/>
      <c r="E29" s="216"/>
      <c r="F29" s="216"/>
      <c r="G29" s="216"/>
      <c r="H29" s="216"/>
      <c r="I29" s="216"/>
    </row>
    <row r="30" spans="2:9" x14ac:dyDescent="0.25">
      <c r="C30" s="187" t="s">
        <v>145</v>
      </c>
    </row>
    <row r="32" spans="2:9" x14ac:dyDescent="0.25">
      <c r="B32" s="1"/>
    </row>
    <row r="33" spans="2:2" x14ac:dyDescent="0.25">
      <c r="B33" s="1"/>
    </row>
    <row r="34" spans="2:2" x14ac:dyDescent="0.25">
      <c r="B34" s="1"/>
    </row>
  </sheetData>
  <mergeCells count="8">
    <mergeCell ref="B27:I27"/>
    <mergeCell ref="B28:I28"/>
    <mergeCell ref="B29:I29"/>
    <mergeCell ref="B20:I20"/>
    <mergeCell ref="B21:I21"/>
    <mergeCell ref="B22:I22"/>
    <mergeCell ref="B25:I25"/>
    <mergeCell ref="B26:I26"/>
  </mergeCells>
  <pageMargins left="0.7" right="0.7" top="0.75" bottom="0.75" header="0.3" footer="0.3"/>
  <pageSetup scale="7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CAE17-E022-42C7-8062-45D3B1C6C683}">
  <sheetPr>
    <tabColor theme="9" tint="0.79998168889431442"/>
    <pageSetUpPr fitToPage="1"/>
  </sheetPr>
  <dimension ref="B2:L32"/>
  <sheetViews>
    <sheetView showGridLines="0" workbookViewId="0">
      <selection activeCell="F16" sqref="F16"/>
    </sheetView>
  </sheetViews>
  <sheetFormatPr defaultColWidth="9.140625" defaultRowHeight="15" x14ac:dyDescent="0.25"/>
  <cols>
    <col min="1" max="1" width="2.140625" customWidth="1"/>
    <col min="2" max="2" width="19.140625" bestFit="1" customWidth="1"/>
    <col min="3" max="3" width="12.85546875" customWidth="1"/>
    <col min="4" max="4" width="12.140625" bestFit="1" customWidth="1"/>
    <col min="5" max="5" width="13" customWidth="1"/>
    <col min="6" max="6" width="10" bestFit="1" customWidth="1"/>
    <col min="7" max="9" width="10.85546875" bestFit="1" customWidth="1"/>
    <col min="10" max="10" width="11.85546875" bestFit="1" customWidth="1"/>
    <col min="11" max="12" width="9.140625" bestFit="1" customWidth="1"/>
  </cols>
  <sheetData>
    <row r="2" spans="2:12" ht="18.75" x14ac:dyDescent="0.3">
      <c r="B2" s="318" t="s">
        <v>104</v>
      </c>
      <c r="C2" s="318"/>
      <c r="D2" s="318"/>
      <c r="E2" s="318"/>
      <c r="F2" s="318"/>
      <c r="G2" s="318"/>
      <c r="H2" s="318"/>
      <c r="I2" s="318"/>
      <c r="J2" s="318"/>
      <c r="K2" s="318"/>
      <c r="L2" s="318"/>
    </row>
    <row r="4" spans="2:12" ht="15.75" thickBot="1" x14ac:dyDescent="0.3"/>
    <row r="5" spans="2:12" ht="15.75" customHeight="1" thickBot="1" x14ac:dyDescent="0.3">
      <c r="B5" s="319" t="s">
        <v>67</v>
      </c>
      <c r="C5" s="321" t="s">
        <v>68</v>
      </c>
      <c r="D5" s="314"/>
      <c r="E5" s="315" t="s">
        <v>69</v>
      </c>
      <c r="F5" s="307" t="s">
        <v>131</v>
      </c>
      <c r="G5" s="308"/>
      <c r="H5" s="309" t="s">
        <v>71</v>
      </c>
      <c r="I5" s="310"/>
      <c r="J5" s="311"/>
      <c r="K5" s="310" t="s">
        <v>72</v>
      </c>
      <c r="L5" s="311"/>
    </row>
    <row r="6" spans="2:12" ht="45.75" thickBot="1" x14ac:dyDescent="0.3">
      <c r="B6" s="320"/>
      <c r="C6" s="85"/>
      <c r="D6" s="86" t="s">
        <v>73</v>
      </c>
      <c r="E6" s="316"/>
      <c r="F6" s="86" t="s">
        <v>8</v>
      </c>
      <c r="G6" s="87" t="s">
        <v>74</v>
      </c>
      <c r="H6" s="83" t="s">
        <v>37</v>
      </c>
      <c r="I6" s="83" t="s">
        <v>38</v>
      </c>
      <c r="J6" s="83" t="s">
        <v>42</v>
      </c>
      <c r="K6" s="83" t="s">
        <v>37</v>
      </c>
      <c r="L6" s="84" t="s">
        <v>38</v>
      </c>
    </row>
    <row r="7" spans="2:12" x14ac:dyDescent="0.25">
      <c r="B7" s="75"/>
      <c r="C7" s="76"/>
      <c r="D7" s="16"/>
      <c r="E7" s="77" t="s">
        <v>32</v>
      </c>
      <c r="F7" s="75"/>
      <c r="G7" s="78" t="s">
        <v>32</v>
      </c>
      <c r="H7" s="78" t="s">
        <v>9</v>
      </c>
      <c r="I7" s="78" t="s">
        <v>9</v>
      </c>
      <c r="J7" s="78" t="s">
        <v>9</v>
      </c>
      <c r="K7" s="76"/>
      <c r="L7" s="79"/>
    </row>
    <row r="8" spans="2:12" ht="15.75" thickBot="1" x14ac:dyDescent="0.3">
      <c r="B8" s="88" t="s">
        <v>15</v>
      </c>
      <c r="C8" s="89" t="s">
        <v>66</v>
      </c>
      <c r="D8" s="90">
        <f>'Non-RRRP Rate Design'!D7</f>
        <v>2960.1858518389645</v>
      </c>
      <c r="E8" s="90">
        <f>'Non-RRRP Rate Design'!E7</f>
        <v>5874372.3645382812</v>
      </c>
      <c r="F8" s="91">
        <f>'Non-RRRP Rate Design'!H7</f>
        <v>78.790000000000006</v>
      </c>
      <c r="G8" s="92">
        <f>'Non-RRRP Rate Design'!I7</f>
        <v>6.2600000000000003E-2</v>
      </c>
      <c r="H8" s="90">
        <f>D8*F8*12</f>
        <v>2798796.519196704</v>
      </c>
      <c r="I8" s="90">
        <f>E8*G8</f>
        <v>367735.71002009645</v>
      </c>
      <c r="J8" s="90">
        <f>H8+I8</f>
        <v>3166532.2292168005</v>
      </c>
      <c r="K8" s="69">
        <f>H8/J8</f>
        <v>0.88386800341803218</v>
      </c>
      <c r="L8" s="70">
        <f>I8/J8</f>
        <v>0.11613199658196782</v>
      </c>
    </row>
    <row r="10" spans="2:12" x14ac:dyDescent="0.25">
      <c r="B10" s="317" t="s">
        <v>81</v>
      </c>
      <c r="C10" s="317"/>
      <c r="D10" s="317"/>
      <c r="E10" s="317"/>
    </row>
    <row r="11" spans="2:12" x14ac:dyDescent="0.25">
      <c r="F11" s="71">
        <v>2024</v>
      </c>
      <c r="G11" s="71">
        <v>2025</v>
      </c>
      <c r="H11" s="71">
        <v>2026</v>
      </c>
      <c r="I11" s="71">
        <v>2027</v>
      </c>
      <c r="J11" s="71">
        <v>2028</v>
      </c>
      <c r="K11" s="71"/>
    </row>
    <row r="12" spans="2:12" x14ac:dyDescent="0.25">
      <c r="B12" s="294" t="s">
        <v>134</v>
      </c>
      <c r="C12" s="294"/>
      <c r="D12" s="294"/>
      <c r="E12" s="294"/>
      <c r="F12" s="80">
        <f>F8</f>
        <v>78.790000000000006</v>
      </c>
      <c r="G12" s="80">
        <f>F15</f>
        <v>82.79</v>
      </c>
      <c r="H12" s="80">
        <f>G15</f>
        <v>86.79</v>
      </c>
      <c r="I12" s="80">
        <f t="shared" ref="I12:J12" si="0">H15</f>
        <v>89.142269768007054</v>
      </c>
      <c r="J12" s="80">
        <f t="shared" si="0"/>
        <v>89.142269768007054</v>
      </c>
      <c r="K12" s="80"/>
    </row>
    <row r="13" spans="2:12" x14ac:dyDescent="0.25">
      <c r="B13" s="294" t="s">
        <v>75</v>
      </c>
      <c r="C13" s="294"/>
      <c r="D13" s="294"/>
      <c r="E13" s="294"/>
      <c r="F13" s="72">
        <f>J8/D8/12</f>
        <v>89.142269768007054</v>
      </c>
      <c r="G13" s="80"/>
    </row>
    <row r="14" spans="2:12" x14ac:dyDescent="0.25">
      <c r="B14" s="81" t="s">
        <v>76</v>
      </c>
      <c r="C14" s="81"/>
      <c r="D14" s="81"/>
      <c r="E14" s="81"/>
      <c r="F14" s="72">
        <f>IF(($F$13-F12)&gt;4,4,$F$13-F12)</f>
        <v>4</v>
      </c>
      <c r="G14" s="72">
        <f>IF(($F$13-G12)&gt;4,4,$F$13-G12)</f>
        <v>4</v>
      </c>
      <c r="H14" s="72">
        <f>IF(($F$13-H12)&gt;4,4,$F$13-H12)</f>
        <v>2.3522697680070479</v>
      </c>
      <c r="I14" s="72">
        <f t="shared" ref="I14:J14" si="1">IF(($F$13-I12)&gt;4,4,$F$13-I12)</f>
        <v>0</v>
      </c>
      <c r="J14" s="72">
        <f t="shared" si="1"/>
        <v>0</v>
      </c>
      <c r="K14" s="72"/>
    </row>
    <row r="15" spans="2:12" x14ac:dyDescent="0.25">
      <c r="B15" s="294" t="s">
        <v>77</v>
      </c>
      <c r="C15" s="294"/>
      <c r="D15" s="294"/>
      <c r="E15" s="294"/>
      <c r="F15" s="72">
        <f>F12+F14</f>
        <v>82.79</v>
      </c>
      <c r="G15" s="72">
        <f>G12+G14</f>
        <v>86.79</v>
      </c>
      <c r="H15" s="72">
        <f>H12+H14</f>
        <v>89.142269768007054</v>
      </c>
      <c r="I15" s="72">
        <f t="shared" ref="I15:J15" si="2">I12+I14</f>
        <v>89.142269768007054</v>
      </c>
      <c r="J15" s="72">
        <f t="shared" si="2"/>
        <v>89.142269768007054</v>
      </c>
      <c r="K15" s="72"/>
    </row>
    <row r="17" spans="2:12" x14ac:dyDescent="0.25">
      <c r="B17" s="1" t="s">
        <v>135</v>
      </c>
    </row>
    <row r="18" spans="2:12" ht="15.75" thickBot="1" x14ac:dyDescent="0.3"/>
    <row r="19" spans="2:12" ht="15.75" thickBot="1" x14ac:dyDescent="0.3">
      <c r="B19" s="93" t="s">
        <v>67</v>
      </c>
      <c r="C19" s="313" t="s">
        <v>68</v>
      </c>
      <c r="D19" s="314"/>
      <c r="E19" s="315" t="s">
        <v>69</v>
      </c>
      <c r="F19" s="307" t="s">
        <v>70</v>
      </c>
      <c r="G19" s="308"/>
      <c r="H19" s="309" t="s">
        <v>71</v>
      </c>
      <c r="I19" s="310"/>
      <c r="J19" s="311"/>
      <c r="K19" s="310" t="s">
        <v>29</v>
      </c>
      <c r="L19" s="311"/>
    </row>
    <row r="20" spans="2:12" ht="45.75" thickBot="1" x14ac:dyDescent="0.3">
      <c r="B20" s="94"/>
      <c r="C20" s="95"/>
      <c r="D20" s="86" t="s">
        <v>73</v>
      </c>
      <c r="E20" s="316"/>
      <c r="F20" s="86" t="s">
        <v>8</v>
      </c>
      <c r="G20" s="87" t="s">
        <v>74</v>
      </c>
      <c r="H20" s="83" t="s">
        <v>37</v>
      </c>
      <c r="I20" s="83" t="s">
        <v>38</v>
      </c>
      <c r="J20" s="83" t="s">
        <v>42</v>
      </c>
      <c r="K20" s="83" t="s">
        <v>37</v>
      </c>
      <c r="L20" s="84" t="s">
        <v>38</v>
      </c>
    </row>
    <row r="21" spans="2:12" x14ac:dyDescent="0.25">
      <c r="B21" s="75"/>
      <c r="C21" s="75"/>
      <c r="D21" s="75"/>
      <c r="E21" s="77" t="s">
        <v>32</v>
      </c>
      <c r="F21" s="75"/>
      <c r="G21" s="78" t="s">
        <v>32</v>
      </c>
      <c r="H21" s="78" t="s">
        <v>9</v>
      </c>
      <c r="I21" s="78" t="s">
        <v>9</v>
      </c>
      <c r="J21" s="78" t="s">
        <v>9</v>
      </c>
      <c r="K21" s="76"/>
      <c r="L21" s="79"/>
    </row>
    <row r="22" spans="2:12" ht="15.75" thickBot="1" x14ac:dyDescent="0.3">
      <c r="B22" s="88" t="s">
        <v>15</v>
      </c>
      <c r="C22" s="88" t="s">
        <v>66</v>
      </c>
      <c r="D22" s="96">
        <f>D8</f>
        <v>2960.1858518389645</v>
      </c>
      <c r="E22" s="96">
        <f>E8</f>
        <v>5874372.3645382812</v>
      </c>
      <c r="F22" s="91">
        <f>F15</f>
        <v>82.79</v>
      </c>
      <c r="G22" s="92">
        <f>I22/E22</f>
        <v>3.8412067728968685E-2</v>
      </c>
      <c r="H22" s="73">
        <f>F22*D22*12</f>
        <v>2940885.4400849743</v>
      </c>
      <c r="I22" s="73">
        <f>L22*J8</f>
        <v>225646.7891318264</v>
      </c>
      <c r="J22" s="74">
        <f>H22+I22</f>
        <v>3166532.2292168005</v>
      </c>
      <c r="K22" s="69">
        <f>H22/J8</f>
        <v>0.92874009395835611</v>
      </c>
      <c r="L22" s="70">
        <f>1-K22</f>
        <v>7.1259906041643895E-2</v>
      </c>
    </row>
    <row r="24" spans="2:12" x14ac:dyDescent="0.25">
      <c r="B24" s="1" t="s">
        <v>80</v>
      </c>
      <c r="H24" s="312"/>
      <c r="I24" s="312"/>
      <c r="J24" s="82"/>
    </row>
    <row r="25" spans="2:12" ht="15.75" thickBot="1" x14ac:dyDescent="0.3"/>
    <row r="26" spans="2:12" ht="15.75" thickBot="1" x14ac:dyDescent="0.3">
      <c r="B26" s="93" t="s">
        <v>67</v>
      </c>
      <c r="C26" s="313" t="s">
        <v>68</v>
      </c>
      <c r="D26" s="314"/>
      <c r="E26" s="315" t="s">
        <v>69</v>
      </c>
      <c r="F26" s="307" t="s">
        <v>70</v>
      </c>
      <c r="G26" s="308"/>
      <c r="H26" s="309" t="s">
        <v>71</v>
      </c>
      <c r="I26" s="310"/>
      <c r="J26" s="311"/>
    </row>
    <row r="27" spans="2:12" ht="45.75" thickBot="1" x14ac:dyDescent="0.3">
      <c r="B27" s="94"/>
      <c r="C27" s="95"/>
      <c r="D27" s="86" t="s">
        <v>73</v>
      </c>
      <c r="E27" s="316"/>
      <c r="F27" s="86" t="s">
        <v>8</v>
      </c>
      <c r="G27" s="87" t="s">
        <v>74</v>
      </c>
      <c r="H27" s="83" t="s">
        <v>37</v>
      </c>
      <c r="I27" s="83" t="s">
        <v>38</v>
      </c>
      <c r="J27" s="83" t="s">
        <v>42</v>
      </c>
    </row>
    <row r="28" spans="2:12" x14ac:dyDescent="0.25">
      <c r="B28" s="75"/>
      <c r="C28" s="75"/>
      <c r="D28" s="75"/>
      <c r="E28" s="77" t="s">
        <v>32</v>
      </c>
      <c r="F28" s="75"/>
      <c r="G28" s="78" t="s">
        <v>32</v>
      </c>
      <c r="H28" s="78" t="s">
        <v>9</v>
      </c>
      <c r="I28" s="78" t="s">
        <v>9</v>
      </c>
      <c r="J28" s="78" t="s">
        <v>9</v>
      </c>
    </row>
    <row r="29" spans="2:12" ht="15.75" thickBot="1" x14ac:dyDescent="0.3">
      <c r="B29" s="88" t="s">
        <v>15</v>
      </c>
      <c r="C29" s="88" t="s">
        <v>66</v>
      </c>
      <c r="D29" s="96">
        <f>D22</f>
        <v>2960.1858518389645</v>
      </c>
      <c r="E29" s="96">
        <f>E22</f>
        <v>5874372.3645382812</v>
      </c>
      <c r="F29" s="91">
        <f>F22</f>
        <v>82.79</v>
      </c>
      <c r="G29" s="92">
        <f>ROUND(G22,4)</f>
        <v>3.8399999999999997E-2</v>
      </c>
      <c r="H29" s="73">
        <f>F29*D29*12</f>
        <v>2940885.4400849743</v>
      </c>
      <c r="I29" s="73">
        <f>E29*G29</f>
        <v>225575.89879826998</v>
      </c>
      <c r="J29" s="74">
        <f>H29+I29</f>
        <v>3166461.3388832444</v>
      </c>
    </row>
    <row r="30" spans="2:12" ht="15.75" thickBot="1" x14ac:dyDescent="0.3">
      <c r="D30" s="97"/>
      <c r="E30" s="97"/>
      <c r="F30" s="98"/>
      <c r="G30" s="98"/>
      <c r="H30" s="99"/>
      <c r="I30" s="99"/>
      <c r="J30" s="82"/>
    </row>
    <row r="31" spans="2:12" x14ac:dyDescent="0.25">
      <c r="B31" s="303" t="s">
        <v>79</v>
      </c>
      <c r="C31" s="304"/>
      <c r="D31" s="304"/>
      <c r="E31" s="304"/>
      <c r="F31" s="304"/>
      <c r="G31" s="23" t="s">
        <v>9</v>
      </c>
      <c r="H31" s="189">
        <f>H29-H22</f>
        <v>0</v>
      </c>
      <c r="I31" s="189">
        <f>I29-I22</f>
        <v>-70.890333556424594</v>
      </c>
      <c r="J31" s="190">
        <f>J29-J22</f>
        <v>-70.890333556104451</v>
      </c>
    </row>
    <row r="32" spans="2:12" ht="15.75" thickBot="1" x14ac:dyDescent="0.3">
      <c r="B32" s="305"/>
      <c r="C32" s="306"/>
      <c r="D32" s="306"/>
      <c r="E32" s="306"/>
      <c r="F32" s="306"/>
      <c r="G32" s="101" t="s">
        <v>78</v>
      </c>
      <c r="H32" s="100">
        <f>H31/H22</f>
        <v>0</v>
      </c>
      <c r="I32" s="100">
        <f t="shared" ref="I32:J32" si="3">I31/I22</f>
        <v>-3.1416504453342495E-4</v>
      </c>
      <c r="J32" s="102">
        <f t="shared" si="3"/>
        <v>-2.2387371554919631E-5</v>
      </c>
    </row>
  </sheetData>
  <mergeCells count="22">
    <mergeCell ref="B2:L2"/>
    <mergeCell ref="B5:B6"/>
    <mergeCell ref="C5:D5"/>
    <mergeCell ref="E5:E6"/>
    <mergeCell ref="F5:G5"/>
    <mergeCell ref="H5:J5"/>
    <mergeCell ref="K5:L5"/>
    <mergeCell ref="B10:E10"/>
    <mergeCell ref="B12:E12"/>
    <mergeCell ref="B13:E13"/>
    <mergeCell ref="B15:E15"/>
    <mergeCell ref="C19:D19"/>
    <mergeCell ref="E19:E20"/>
    <mergeCell ref="B31:F32"/>
    <mergeCell ref="F19:G19"/>
    <mergeCell ref="H19:J19"/>
    <mergeCell ref="K19:L19"/>
    <mergeCell ref="H24:I24"/>
    <mergeCell ref="C26:D26"/>
    <mergeCell ref="E26:E27"/>
    <mergeCell ref="F26:G26"/>
    <mergeCell ref="H26:J26"/>
  </mergeCells>
  <pageMargins left="0.7" right="0.7" top="0.75" bottom="0.75" header="0.3" footer="0.3"/>
  <pageSetup scale="6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20746-760F-4A40-AF18-6199DD84677D}">
  <sheetPr>
    <tabColor theme="9" tint="0.79998168889431442"/>
    <pageSetUpPr fitToPage="1"/>
  </sheetPr>
  <dimension ref="B2:M29"/>
  <sheetViews>
    <sheetView showGridLines="0" tabSelected="1" workbookViewId="0">
      <selection activeCell="T27" sqref="T27"/>
    </sheetView>
  </sheetViews>
  <sheetFormatPr defaultColWidth="9.140625" defaultRowHeight="15" x14ac:dyDescent="0.25"/>
  <cols>
    <col min="1" max="1" width="2.85546875" customWidth="1"/>
    <col min="2" max="2" width="39.7109375" customWidth="1"/>
    <col min="3" max="3" width="6.7109375" bestFit="1" customWidth="1"/>
    <col min="4" max="4" width="2.85546875" customWidth="1"/>
    <col min="5" max="5" width="5.7109375" customWidth="1"/>
    <col min="6" max="6" width="11.7109375" bestFit="1" customWidth="1"/>
    <col min="7" max="7" width="7" customWidth="1"/>
    <col min="8" max="8" width="1.85546875" customWidth="1"/>
    <col min="9" max="9" width="6.140625" customWidth="1"/>
    <col min="10" max="10" width="12.140625" bestFit="1" customWidth="1"/>
    <col min="11" max="11" width="8.85546875" customWidth="1"/>
    <col min="12" max="12" width="3" customWidth="1"/>
    <col min="13" max="13" width="9.140625" style="5"/>
    <col min="15" max="15" width="16.28515625" bestFit="1" customWidth="1"/>
  </cols>
  <sheetData>
    <row r="2" spans="2:13" ht="15.75" x14ac:dyDescent="0.25">
      <c r="B2" s="232" t="s">
        <v>143</v>
      </c>
      <c r="C2" s="232"/>
      <c r="D2" s="232"/>
      <c r="E2" s="232"/>
      <c r="F2" s="232"/>
      <c r="G2" s="232"/>
      <c r="H2" s="232"/>
      <c r="I2" s="232"/>
      <c r="J2" s="232"/>
      <c r="K2" s="232"/>
    </row>
    <row r="3" spans="2:13" ht="15.75" thickBot="1" x14ac:dyDescent="0.3">
      <c r="C3" s="5"/>
    </row>
    <row r="4" spans="2:13" ht="16.5" thickBot="1" x14ac:dyDescent="0.3">
      <c r="B4" s="233"/>
      <c r="C4" s="234"/>
      <c r="D4" s="234"/>
      <c r="E4" s="235" t="s">
        <v>115</v>
      </c>
      <c r="F4" s="236"/>
      <c r="G4" s="237"/>
      <c r="H4" s="133"/>
      <c r="I4" s="238" t="s">
        <v>116</v>
      </c>
      <c r="J4" s="239"/>
      <c r="K4" s="240"/>
      <c r="M4" s="241" t="s">
        <v>3</v>
      </c>
    </row>
    <row r="5" spans="2:13" ht="16.5" thickBot="1" x14ac:dyDescent="0.3">
      <c r="B5" s="218" t="s">
        <v>4</v>
      </c>
      <c r="C5" s="219"/>
      <c r="D5" s="219"/>
      <c r="E5" s="242" t="s">
        <v>105</v>
      </c>
      <c r="F5" s="243"/>
      <c r="G5" s="244"/>
      <c r="H5" s="128"/>
      <c r="I5" s="242" t="s">
        <v>114</v>
      </c>
      <c r="J5" s="243"/>
      <c r="K5" s="244"/>
      <c r="M5" s="241"/>
    </row>
    <row r="6" spans="2:13" ht="16.5" thickBot="1" x14ac:dyDescent="0.3">
      <c r="B6" s="218"/>
      <c r="C6" s="219"/>
      <c r="D6" s="219"/>
      <c r="E6" s="220"/>
      <c r="F6" s="221"/>
      <c r="G6" s="222"/>
      <c r="H6" s="128"/>
      <c r="I6" s="223"/>
      <c r="J6" s="224"/>
      <c r="K6" s="225"/>
      <c r="M6" s="6"/>
    </row>
    <row r="7" spans="2:13" ht="43.5" customHeight="1" x14ac:dyDescent="0.25">
      <c r="B7" s="7" t="s">
        <v>5</v>
      </c>
      <c r="C7" s="8" t="s">
        <v>6</v>
      </c>
      <c r="D7" s="9"/>
      <c r="E7" s="226" t="s">
        <v>102</v>
      </c>
      <c r="F7" s="227"/>
      <c r="G7" s="228"/>
      <c r="H7" s="128"/>
      <c r="I7" s="229" t="s">
        <v>117</v>
      </c>
      <c r="J7" s="230"/>
      <c r="K7" s="231"/>
      <c r="M7" s="6"/>
    </row>
    <row r="8" spans="2:13" x14ac:dyDescent="0.25">
      <c r="B8" s="10" t="s">
        <v>7</v>
      </c>
      <c r="C8" s="6"/>
      <c r="D8" s="11"/>
      <c r="E8" s="134"/>
      <c r="F8" s="135"/>
      <c r="G8" s="136"/>
      <c r="I8" s="12"/>
      <c r="J8" s="14"/>
      <c r="K8" s="13"/>
      <c r="M8" s="6"/>
    </row>
    <row r="9" spans="2:13" x14ac:dyDescent="0.25">
      <c r="B9" s="15" t="s">
        <v>8</v>
      </c>
      <c r="C9" s="6" t="s">
        <v>9</v>
      </c>
      <c r="D9" s="2"/>
      <c r="E9" s="137"/>
      <c r="F9" s="191">
        <v>62.112512229622162</v>
      </c>
      <c r="G9" s="192"/>
      <c r="H9" s="193"/>
      <c r="I9" s="194"/>
      <c r="J9" s="195">
        <f>'RRRP Rate Design'!I14</f>
        <v>64.31</v>
      </c>
      <c r="K9" s="16"/>
      <c r="M9" s="3">
        <f>(J9-F9)/F9</f>
        <v>3.5379148121621677E-2</v>
      </c>
    </row>
    <row r="10" spans="2:13" x14ac:dyDescent="0.25">
      <c r="B10" s="15" t="s">
        <v>10</v>
      </c>
      <c r="C10" s="6" t="s">
        <v>11</v>
      </c>
      <c r="D10" s="4"/>
      <c r="E10" s="137"/>
      <c r="F10" s="196">
        <v>0</v>
      </c>
      <c r="G10" s="192"/>
      <c r="H10" s="193"/>
      <c r="I10" s="197"/>
      <c r="J10" s="196">
        <f>'RRRP Rate Design'!J14</f>
        <v>0</v>
      </c>
      <c r="K10" s="13"/>
      <c r="M10" s="3" t="e">
        <f>(J10-F10)/F10</f>
        <v>#DIV/0!</v>
      </c>
    </row>
    <row r="11" spans="2:13" x14ac:dyDescent="0.25">
      <c r="B11" s="15"/>
      <c r="C11" s="6"/>
      <c r="D11" s="4"/>
      <c r="E11" s="137"/>
      <c r="F11" s="198"/>
      <c r="G11" s="192"/>
      <c r="H11" s="193"/>
      <c r="I11" s="197"/>
      <c r="J11" s="196"/>
      <c r="K11" s="13"/>
      <c r="M11" s="3"/>
    </row>
    <row r="12" spans="2:13" x14ac:dyDescent="0.25">
      <c r="B12" s="10" t="s">
        <v>12</v>
      </c>
      <c r="C12" s="6"/>
      <c r="D12" s="4"/>
      <c r="E12" s="137"/>
      <c r="F12" s="198"/>
      <c r="G12" s="192"/>
      <c r="H12" s="193"/>
      <c r="I12" s="197"/>
      <c r="J12" s="195"/>
      <c r="K12" s="13"/>
      <c r="M12" s="3"/>
    </row>
    <row r="13" spans="2:13" x14ac:dyDescent="0.25">
      <c r="B13" s="15" t="s">
        <v>8</v>
      </c>
      <c r="C13" s="6" t="s">
        <v>9</v>
      </c>
      <c r="D13" s="4"/>
      <c r="E13" s="137"/>
      <c r="F13" s="191">
        <v>27.85</v>
      </c>
      <c r="G13" s="192"/>
      <c r="H13" s="193"/>
      <c r="I13" s="197"/>
      <c r="J13" s="195">
        <f>'RRRP Rate Design'!I15</f>
        <v>28.84</v>
      </c>
      <c r="K13" s="13"/>
      <c r="M13" s="3">
        <f>(J13-F13)/F13</f>
        <v>3.5547576301615744E-2</v>
      </c>
    </row>
    <row r="14" spans="2:13" x14ac:dyDescent="0.25">
      <c r="B14" s="15" t="s">
        <v>10</v>
      </c>
      <c r="C14" s="6" t="s">
        <v>11</v>
      </c>
      <c r="D14" s="4"/>
      <c r="E14" s="137"/>
      <c r="F14" s="196">
        <v>3.9199999999999999E-2</v>
      </c>
      <c r="G14" s="192"/>
      <c r="H14" s="193"/>
      <c r="I14" s="197"/>
      <c r="J14" s="196">
        <f>'RRRP Rate Design'!J15</f>
        <v>4.0599999999999997E-2</v>
      </c>
      <c r="K14" s="13"/>
      <c r="M14" s="3">
        <f>(J14-F14)/F14</f>
        <v>3.5714285714285678E-2</v>
      </c>
    </row>
    <row r="15" spans="2:13" x14ac:dyDescent="0.25">
      <c r="B15" s="15"/>
      <c r="C15" s="6"/>
      <c r="D15" s="11"/>
      <c r="E15" s="134"/>
      <c r="F15" s="199"/>
      <c r="G15" s="192"/>
      <c r="H15" s="193"/>
      <c r="I15" s="197"/>
      <c r="J15" s="200"/>
      <c r="K15" s="13"/>
      <c r="M15" s="17"/>
    </row>
    <row r="16" spans="2:13" x14ac:dyDescent="0.25">
      <c r="B16" s="10" t="s">
        <v>13</v>
      </c>
      <c r="C16" s="6"/>
      <c r="D16" s="11"/>
      <c r="E16" s="134"/>
      <c r="F16" s="200"/>
      <c r="G16" s="192"/>
      <c r="H16" s="193"/>
      <c r="I16" s="197"/>
      <c r="J16" s="200"/>
      <c r="K16" s="13"/>
      <c r="M16" s="17"/>
    </row>
    <row r="17" spans="2:13" x14ac:dyDescent="0.25">
      <c r="B17" s="15" t="s">
        <v>8</v>
      </c>
      <c r="C17" s="6" t="s">
        <v>9</v>
      </c>
      <c r="D17" s="2"/>
      <c r="E17" s="137"/>
      <c r="F17" s="201">
        <v>716.69</v>
      </c>
      <c r="G17" s="192"/>
      <c r="H17" s="193"/>
      <c r="I17" s="197"/>
      <c r="J17" s="191">
        <f>'RRRP Rate Design'!I16</f>
        <v>742.06</v>
      </c>
      <c r="K17" s="13"/>
      <c r="M17" s="3">
        <f t="shared" ref="M17:M18" si="0">(J17-F17)/F17</f>
        <v>3.5398847479384238E-2</v>
      </c>
    </row>
    <row r="18" spans="2:13" x14ac:dyDescent="0.25">
      <c r="B18" s="15" t="s">
        <v>10</v>
      </c>
      <c r="C18" s="6" t="s">
        <v>14</v>
      </c>
      <c r="D18" s="4"/>
      <c r="E18" s="137"/>
      <c r="F18" s="196">
        <v>3.7134999999999998</v>
      </c>
      <c r="G18" s="192"/>
      <c r="H18" s="193"/>
      <c r="I18" s="197"/>
      <c r="J18" s="196">
        <f>'RRRP Rate Design'!J16</f>
        <v>3.8450000000000002</v>
      </c>
      <c r="K18" s="13"/>
      <c r="M18" s="3">
        <f t="shared" si="0"/>
        <v>3.5411337013599137E-2</v>
      </c>
    </row>
    <row r="19" spans="2:13" x14ac:dyDescent="0.25">
      <c r="B19" s="15"/>
      <c r="C19" s="6"/>
      <c r="D19" s="11"/>
      <c r="E19" s="134"/>
      <c r="F19" s="199"/>
      <c r="G19" s="192"/>
      <c r="H19" s="193"/>
      <c r="I19" s="197"/>
      <c r="J19" s="200"/>
      <c r="K19" s="13"/>
      <c r="M19" s="17"/>
    </row>
    <row r="20" spans="2:13" x14ac:dyDescent="0.25">
      <c r="B20" s="10" t="s">
        <v>15</v>
      </c>
      <c r="C20" s="6"/>
      <c r="D20" s="11"/>
      <c r="E20" s="134"/>
      <c r="F20" s="199"/>
      <c r="G20" s="192"/>
      <c r="H20" s="193"/>
      <c r="I20" s="197"/>
      <c r="J20" s="200"/>
      <c r="K20" s="13"/>
      <c r="M20" s="17"/>
    </row>
    <row r="21" spans="2:13" x14ac:dyDescent="0.25">
      <c r="B21" s="15" t="s">
        <v>8</v>
      </c>
      <c r="C21" s="6" t="s">
        <v>9</v>
      </c>
      <c r="D21" s="2"/>
      <c r="E21" s="137"/>
      <c r="F21" s="201">
        <v>75.61</v>
      </c>
      <c r="G21" s="192"/>
      <c r="H21" s="193"/>
      <c r="I21" s="197"/>
      <c r="J21" s="201">
        <f>'Seasonal Decoupling'!F29</f>
        <v>82.79</v>
      </c>
      <c r="K21" s="13"/>
      <c r="M21" s="3">
        <f t="shared" ref="M21:M22" si="1">(J21-F21)/F21</f>
        <v>9.4960983996825912E-2</v>
      </c>
    </row>
    <row r="22" spans="2:13" x14ac:dyDescent="0.25">
      <c r="B22" s="15" t="s">
        <v>10</v>
      </c>
      <c r="C22" s="6" t="s">
        <v>11</v>
      </c>
      <c r="D22" s="4"/>
      <c r="E22" s="137"/>
      <c r="F22" s="196">
        <v>6.0100000000000001E-2</v>
      </c>
      <c r="G22" s="192"/>
      <c r="H22" s="193"/>
      <c r="I22" s="197"/>
      <c r="J22" s="196">
        <f>'Seasonal Decoupling'!G29</f>
        <v>3.8399999999999997E-2</v>
      </c>
      <c r="K22" s="13"/>
      <c r="M22" s="3">
        <f t="shared" si="1"/>
        <v>-0.36106489184692186</v>
      </c>
    </row>
    <row r="23" spans="2:13" x14ac:dyDescent="0.25">
      <c r="B23" s="15"/>
      <c r="C23" s="6"/>
      <c r="D23" s="11"/>
      <c r="E23" s="134"/>
      <c r="F23" s="199"/>
      <c r="G23" s="192"/>
      <c r="H23" s="193"/>
      <c r="I23" s="197"/>
      <c r="J23" s="200"/>
      <c r="K23" s="13"/>
      <c r="M23" s="17"/>
    </row>
    <row r="24" spans="2:13" x14ac:dyDescent="0.25">
      <c r="B24" s="10" t="s">
        <v>16</v>
      </c>
      <c r="C24" s="6"/>
      <c r="D24" s="11"/>
      <c r="E24" s="134"/>
      <c r="F24" s="199"/>
      <c r="G24" s="192"/>
      <c r="H24" s="193"/>
      <c r="I24" s="197"/>
      <c r="J24" s="200"/>
      <c r="K24" s="13"/>
      <c r="M24" s="17"/>
    </row>
    <row r="25" spans="2:13" x14ac:dyDescent="0.25">
      <c r="B25" s="15" t="s">
        <v>8</v>
      </c>
      <c r="C25" s="6" t="s">
        <v>9</v>
      </c>
      <c r="D25" s="2"/>
      <c r="E25" s="137"/>
      <c r="F25" s="201">
        <v>2</v>
      </c>
      <c r="G25" s="192"/>
      <c r="H25" s="193"/>
      <c r="I25" s="197"/>
      <c r="J25" s="201">
        <f>'Non-RRRP Rate Design'!H8</f>
        <v>2.08</v>
      </c>
      <c r="K25" s="13"/>
      <c r="M25" s="3">
        <f t="shared" ref="M25:M26" si="2">(J25-F25)/F25</f>
        <v>4.0000000000000036E-2</v>
      </c>
    </row>
    <row r="26" spans="2:13" x14ac:dyDescent="0.25">
      <c r="B26" s="15" t="s">
        <v>10</v>
      </c>
      <c r="C26" s="6" t="s">
        <v>11</v>
      </c>
      <c r="D26" s="4"/>
      <c r="E26" s="137"/>
      <c r="F26" s="196">
        <v>0.3226</v>
      </c>
      <c r="G26" s="192"/>
      <c r="H26" s="193"/>
      <c r="I26" s="197"/>
      <c r="J26" s="196">
        <f>'Non-RRRP Rate Design'!I8</f>
        <v>0.33610000000000001</v>
      </c>
      <c r="K26" s="13"/>
      <c r="M26" s="3">
        <f t="shared" si="2"/>
        <v>4.1847489150651E-2</v>
      </c>
    </row>
    <row r="27" spans="2:13" x14ac:dyDescent="0.25">
      <c r="B27" s="15"/>
      <c r="C27" s="6"/>
      <c r="D27" s="11"/>
      <c r="E27" s="134"/>
      <c r="F27" s="199"/>
      <c r="G27" s="192"/>
      <c r="H27" s="193"/>
      <c r="I27" s="197"/>
      <c r="J27" s="200"/>
      <c r="K27" s="13"/>
      <c r="M27" s="17"/>
    </row>
    <row r="28" spans="2:13" ht="15.75" thickBot="1" x14ac:dyDescent="0.3">
      <c r="B28" s="18" t="s">
        <v>17</v>
      </c>
      <c r="C28" s="19" t="s">
        <v>9</v>
      </c>
      <c r="D28" s="20"/>
      <c r="E28" s="138"/>
      <c r="F28" s="202">
        <v>16490664</v>
      </c>
      <c r="G28" s="203"/>
      <c r="H28" s="204"/>
      <c r="I28" s="205"/>
      <c r="J28" s="202">
        <f>'RRRP Rate Design'!M19</f>
        <v>17174943.401066028</v>
      </c>
      <c r="K28" s="21"/>
      <c r="M28" s="3">
        <f>(J28-F28)/F28</f>
        <v>4.1494957453867692E-2</v>
      </c>
    </row>
    <row r="29" spans="2:13" x14ac:dyDescent="0.25">
      <c r="F29" s="206"/>
      <c r="G29" s="206"/>
      <c r="H29" s="206"/>
      <c r="I29" s="206"/>
      <c r="J29" s="206"/>
    </row>
  </sheetData>
  <mergeCells count="13">
    <mergeCell ref="B2:K2"/>
    <mergeCell ref="B4:D4"/>
    <mergeCell ref="E4:G4"/>
    <mergeCell ref="I4:K4"/>
    <mergeCell ref="M4:M5"/>
    <mergeCell ref="B5:D5"/>
    <mergeCell ref="E5:G5"/>
    <mergeCell ref="I5:K5"/>
    <mergeCell ref="B6:D6"/>
    <mergeCell ref="E6:G6"/>
    <mergeCell ref="I6:K6"/>
    <mergeCell ref="E7:G7"/>
    <mergeCell ref="I7:K7"/>
  </mergeCells>
  <pageMargins left="0.7" right="0.7" top="0.75" bottom="0.75" header="0.3" footer="0.3"/>
  <pageSetup scale="7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B4982-61F9-4BF2-A139-8D79528AD383}">
  <sheetPr>
    <tabColor theme="8" tint="0.79998168889431442"/>
    <pageSetUpPr fitToPage="1"/>
  </sheetPr>
  <dimension ref="B2:F12"/>
  <sheetViews>
    <sheetView showGridLines="0" workbookViewId="0">
      <selection activeCell="G35" sqref="G35"/>
    </sheetView>
  </sheetViews>
  <sheetFormatPr defaultRowHeight="15" x14ac:dyDescent="0.25"/>
  <cols>
    <col min="1" max="1" width="2.85546875" customWidth="1"/>
    <col min="2" max="2" width="15" customWidth="1"/>
    <col min="3" max="3" width="14.140625" customWidth="1"/>
    <col min="4" max="4" width="10.28515625" bestFit="1" customWidth="1"/>
    <col min="5" max="5" width="12.140625" customWidth="1"/>
    <col min="6" max="6" width="11.7109375" customWidth="1"/>
  </cols>
  <sheetData>
    <row r="2" spans="2:6" ht="15.75" thickBot="1" x14ac:dyDescent="0.3"/>
    <row r="3" spans="2:6" x14ac:dyDescent="0.25">
      <c r="B3" s="245" t="s">
        <v>85</v>
      </c>
      <c r="C3" s="246"/>
      <c r="D3" s="246"/>
      <c r="E3" s="246"/>
      <c r="F3" s="247"/>
    </row>
    <row r="4" spans="2:6" ht="15.75" thickBot="1" x14ac:dyDescent="0.3">
      <c r="B4" s="248"/>
      <c r="C4" s="249"/>
      <c r="D4" s="249"/>
      <c r="E4" s="249"/>
      <c r="F4" s="250"/>
    </row>
    <row r="5" spans="2:6" ht="51" x14ac:dyDescent="0.25">
      <c r="B5" s="106"/>
      <c r="C5" s="107" t="s">
        <v>89</v>
      </c>
      <c r="D5" s="107" t="s">
        <v>84</v>
      </c>
      <c r="E5" s="107" t="s">
        <v>87</v>
      </c>
      <c r="F5" s="108" t="s">
        <v>86</v>
      </c>
    </row>
    <row r="6" spans="2:6" x14ac:dyDescent="0.25">
      <c r="B6" s="15" t="s">
        <v>40</v>
      </c>
      <c r="C6" s="111">
        <v>16904988.472834036</v>
      </c>
      <c r="D6" s="111">
        <v>328511.99052853708</v>
      </c>
      <c r="E6" s="111">
        <v>17362030.650583163</v>
      </c>
      <c r="F6" s="110">
        <f>(D6+E6)/C6</f>
        <v>1.046468778700443</v>
      </c>
    </row>
    <row r="7" spans="2:6" x14ac:dyDescent="0.25">
      <c r="B7" s="15" t="s">
        <v>13</v>
      </c>
      <c r="C7" s="111">
        <v>5043434.3676901637</v>
      </c>
      <c r="D7" s="111">
        <v>83044.070069468231</v>
      </c>
      <c r="E7" s="111">
        <v>4634806.1194622787</v>
      </c>
      <c r="F7" s="110">
        <f t="shared" ref="F7:F9" si="0">(D7+E7)/C7</f>
        <v>0.93544395457107332</v>
      </c>
    </row>
    <row r="8" spans="2:6" x14ac:dyDescent="0.25">
      <c r="B8" s="15" t="s">
        <v>15</v>
      </c>
      <c r="C8" s="111">
        <v>3391922.3985712621</v>
      </c>
      <c r="D8" s="111">
        <v>72715.982014777779</v>
      </c>
      <c r="E8" s="111">
        <v>2825242.8631995791</v>
      </c>
      <c r="F8" s="110">
        <f t="shared" si="0"/>
        <v>0.8543706207533015</v>
      </c>
    </row>
    <row r="9" spans="2:6" x14ac:dyDescent="0.25">
      <c r="B9" s="15" t="s">
        <v>16</v>
      </c>
      <c r="C9" s="111">
        <v>169967.81619938929</v>
      </c>
      <c r="D9" s="111">
        <v>4518.7973872169614</v>
      </c>
      <c r="E9" s="111">
        <v>199442.58204983751</v>
      </c>
      <c r="F9" s="110">
        <f t="shared" si="0"/>
        <v>1.1999999999869819</v>
      </c>
    </row>
    <row r="10" spans="2:6" ht="15.75" thickBot="1" x14ac:dyDescent="0.3">
      <c r="B10" s="34" t="s">
        <v>42</v>
      </c>
      <c r="C10" s="36">
        <f>SUM(C6:C9)</f>
        <v>25510313.055294853</v>
      </c>
      <c r="D10" s="36">
        <f>SUM(D6:D9)</f>
        <v>488790.84</v>
      </c>
      <c r="E10" s="36">
        <f>SUM(E6:E9)</f>
        <v>25021522.21529486</v>
      </c>
      <c r="F10" s="112"/>
    </row>
    <row r="12" spans="2:6" x14ac:dyDescent="0.25">
      <c r="F12" s="109"/>
    </row>
  </sheetData>
  <mergeCells count="1">
    <mergeCell ref="B3:F4"/>
  </mergeCells>
  <pageMargins left="0.7" right="0.7" top="0.75" bottom="0.75" header="0.3" footer="0.3"/>
  <pageSetup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D051E-3CEA-4204-B586-D4F1E2FC840E}">
  <sheetPr>
    <tabColor theme="8" tint="0.79998168889431442"/>
    <pageSetUpPr fitToPage="1"/>
  </sheetPr>
  <dimension ref="B2:N16"/>
  <sheetViews>
    <sheetView showGridLines="0" workbookViewId="0">
      <selection activeCell="F7" sqref="F7"/>
    </sheetView>
  </sheetViews>
  <sheetFormatPr defaultColWidth="9.140625" defaultRowHeight="15" x14ac:dyDescent="0.25"/>
  <cols>
    <col min="1" max="1" width="2.85546875" customWidth="1"/>
    <col min="2" max="2" width="16.28515625" customWidth="1"/>
    <col min="3" max="3" width="6.28515625" customWidth="1"/>
    <col min="4" max="4" width="10.140625" customWidth="1"/>
    <col min="5" max="5" width="12.85546875" bestFit="1" customWidth="1"/>
    <col min="6" max="6" width="9.140625" bestFit="1" customWidth="1"/>
    <col min="7" max="8" width="10.140625" bestFit="1" customWidth="1"/>
    <col min="9" max="9" width="9.7109375" bestFit="1" customWidth="1"/>
    <col min="10" max="10" width="9.140625" bestFit="1" customWidth="1"/>
    <col min="11" max="12" width="11.85546875" bestFit="1" customWidth="1"/>
    <col min="13" max="13" width="11.7109375" customWidth="1"/>
    <col min="14" max="14" width="15.28515625" bestFit="1" customWidth="1"/>
  </cols>
  <sheetData>
    <row r="2" spans="2:14" ht="15.75" thickBot="1" x14ac:dyDescent="0.3"/>
    <row r="3" spans="2:14" ht="31.5" customHeight="1" x14ac:dyDescent="0.25">
      <c r="B3" s="251" t="s">
        <v>43</v>
      </c>
      <c r="C3" s="252"/>
      <c r="D3" s="252"/>
      <c r="E3" s="252"/>
      <c r="F3" s="252"/>
      <c r="G3" s="252"/>
      <c r="H3" s="252"/>
      <c r="I3" s="252"/>
      <c r="J3" s="252"/>
      <c r="K3" s="252"/>
      <c r="L3" s="252"/>
      <c r="M3" s="252"/>
      <c r="N3" s="253"/>
    </row>
    <row r="4" spans="2:14" x14ac:dyDescent="0.25">
      <c r="B4" s="254" t="s">
        <v>41</v>
      </c>
      <c r="C4" s="255"/>
      <c r="D4" s="255"/>
      <c r="E4" s="255"/>
      <c r="F4" s="255"/>
      <c r="G4" s="255"/>
      <c r="H4" s="255"/>
      <c r="I4" s="255"/>
      <c r="J4" s="255"/>
      <c r="K4" s="255"/>
      <c r="L4" s="255"/>
      <c r="M4" s="255"/>
      <c r="N4" s="256"/>
    </row>
    <row r="5" spans="2:14" ht="15" customHeight="1" x14ac:dyDescent="0.25">
      <c r="B5" s="257" t="s">
        <v>26</v>
      </c>
      <c r="C5" s="259" t="s">
        <v>6</v>
      </c>
      <c r="D5" s="261" t="s">
        <v>27</v>
      </c>
      <c r="E5" s="263" t="s">
        <v>28</v>
      </c>
      <c r="F5" s="264"/>
      <c r="G5" s="263" t="s">
        <v>29</v>
      </c>
      <c r="H5" s="264"/>
      <c r="I5" s="263" t="s">
        <v>30</v>
      </c>
      <c r="J5" s="264"/>
      <c r="K5" s="263" t="s">
        <v>31</v>
      </c>
      <c r="L5" s="255"/>
      <c r="M5" s="255"/>
      <c r="N5" s="256"/>
    </row>
    <row r="6" spans="2:14" ht="60" x14ac:dyDescent="0.25">
      <c r="B6" s="258"/>
      <c r="C6" s="260"/>
      <c r="D6" s="262"/>
      <c r="E6" s="45" t="s">
        <v>32</v>
      </c>
      <c r="F6" s="45" t="s">
        <v>33</v>
      </c>
      <c r="G6" s="46" t="s">
        <v>34</v>
      </c>
      <c r="H6" s="46" t="s">
        <v>35</v>
      </c>
      <c r="I6" s="46" t="s">
        <v>8</v>
      </c>
      <c r="J6" s="46" t="s">
        <v>36</v>
      </c>
      <c r="K6" s="46" t="s">
        <v>37</v>
      </c>
      <c r="L6" s="46" t="s">
        <v>38</v>
      </c>
      <c r="M6" s="46" t="s">
        <v>44</v>
      </c>
      <c r="N6" s="47" t="s">
        <v>45</v>
      </c>
    </row>
    <row r="7" spans="2:14" x14ac:dyDescent="0.25">
      <c r="B7" s="48" t="s">
        <v>40</v>
      </c>
      <c r="C7" s="6" t="s">
        <v>32</v>
      </c>
      <c r="D7" s="180">
        <v>9112.8451064303372</v>
      </c>
      <c r="E7" s="181">
        <v>113337066.328181</v>
      </c>
      <c r="F7" s="181"/>
      <c r="G7" s="52">
        <v>0.64118373052413569</v>
      </c>
      <c r="H7" s="52">
        <f>1-G7</f>
        <v>0.35881626947586431</v>
      </c>
      <c r="I7" s="182">
        <v>101.8</v>
      </c>
      <c r="J7" s="183">
        <v>5.5E-2</v>
      </c>
      <c r="K7" s="181">
        <f>D7*I7*12</f>
        <v>11132251.582015298</v>
      </c>
      <c r="L7" s="181">
        <f>E7*J7</f>
        <v>6233538.6480499553</v>
      </c>
      <c r="M7" s="181"/>
      <c r="N7" s="30">
        <f>SUM(K7:M7)</f>
        <v>17365790.230065253</v>
      </c>
    </row>
    <row r="8" spans="2:14" x14ac:dyDescent="0.25">
      <c r="B8" s="48" t="s">
        <v>13</v>
      </c>
      <c r="C8" s="6" t="s">
        <v>33</v>
      </c>
      <c r="D8" s="180">
        <v>37.282220262380214</v>
      </c>
      <c r="E8" s="181"/>
      <c r="F8" s="181">
        <v>248604.90668572392</v>
      </c>
      <c r="G8" s="52">
        <v>0.12009672583040554</v>
      </c>
      <c r="H8" s="52">
        <f t="shared" ref="H8:H10" si="0">1-G8</f>
        <v>0.87990327416959446</v>
      </c>
      <c r="I8" s="182">
        <v>1244.17</v>
      </c>
      <c r="J8" s="183">
        <v>16.8475</v>
      </c>
      <c r="K8" s="181">
        <f t="shared" ref="K8:K10" si="1">D8*I8*12</f>
        <v>556625.03980614711</v>
      </c>
      <c r="L8" s="181">
        <f>F8*J8</f>
        <v>4188371.1653877338</v>
      </c>
      <c r="M8" s="181">
        <v>-110187.67683102925</v>
      </c>
      <c r="N8" s="30">
        <f t="shared" ref="N8:N10" si="2">SUM(K8:M8)</f>
        <v>4634808.5283628516</v>
      </c>
    </row>
    <row r="9" spans="2:14" x14ac:dyDescent="0.25">
      <c r="B9" s="48" t="s">
        <v>15</v>
      </c>
      <c r="C9" s="6" t="s">
        <v>32</v>
      </c>
      <c r="D9" s="180">
        <v>2960.1858518389645</v>
      </c>
      <c r="E9" s="181">
        <v>5874372.3645382812</v>
      </c>
      <c r="F9" s="181"/>
      <c r="G9" s="52">
        <v>0.68900916148665659</v>
      </c>
      <c r="H9" s="52">
        <f t="shared" si="0"/>
        <v>0.31099083851334341</v>
      </c>
      <c r="I9" s="182">
        <v>54.8</v>
      </c>
      <c r="J9" s="183">
        <v>0.14960000000000001</v>
      </c>
      <c r="K9" s="181">
        <f t="shared" si="1"/>
        <v>1946618.2161693028</v>
      </c>
      <c r="L9" s="181">
        <f t="shared" ref="L9:L10" si="3">E9*J9</f>
        <v>878806.10573492688</v>
      </c>
      <c r="M9" s="181"/>
      <c r="N9" s="30">
        <f t="shared" si="2"/>
        <v>2825424.3219042299</v>
      </c>
    </row>
    <row r="10" spans="2:14" x14ac:dyDescent="0.25">
      <c r="B10" s="48" t="s">
        <v>16</v>
      </c>
      <c r="C10" s="6" t="s">
        <v>32</v>
      </c>
      <c r="D10" s="180">
        <v>1127.6033016645551</v>
      </c>
      <c r="E10" s="181">
        <v>581104.4520676051</v>
      </c>
      <c r="F10" s="181"/>
      <c r="G10" s="52">
        <v>0.12619223755769352</v>
      </c>
      <c r="H10" s="52">
        <f t="shared" si="0"/>
        <v>0.87380776244230651</v>
      </c>
      <c r="I10" s="182">
        <v>1.86</v>
      </c>
      <c r="J10" s="183">
        <v>0.2999</v>
      </c>
      <c r="K10" s="181">
        <f t="shared" si="1"/>
        <v>25168.105693152873</v>
      </c>
      <c r="L10" s="181">
        <f t="shared" si="3"/>
        <v>174273.22517507477</v>
      </c>
      <c r="M10" s="181"/>
      <c r="N10" s="30">
        <f t="shared" si="2"/>
        <v>199441.33086822764</v>
      </c>
    </row>
    <row r="11" spans="2:14" s="1" customFormat="1" ht="15.75" thickBot="1" x14ac:dyDescent="0.3">
      <c r="B11" s="34" t="s">
        <v>42</v>
      </c>
      <c r="C11" s="35"/>
      <c r="D11" s="36">
        <f>SUM(D7:D10)</f>
        <v>13237.91648019624</v>
      </c>
      <c r="E11" s="184"/>
      <c r="F11" s="184"/>
      <c r="G11" s="184"/>
      <c r="H11" s="184"/>
      <c r="I11" s="184"/>
      <c r="J11" s="184"/>
      <c r="K11" s="53">
        <f>SUM(K7:K10)</f>
        <v>13660662.9436839</v>
      </c>
      <c r="L11" s="53">
        <f>SUM(L7:L10)</f>
        <v>11474989.144347692</v>
      </c>
      <c r="M11" s="53">
        <f>SUM(M7:M10)</f>
        <v>-110187.67683102925</v>
      </c>
      <c r="N11" s="54">
        <f>SUM(N7:N10)</f>
        <v>25025464.411200564</v>
      </c>
    </row>
    <row r="13" spans="2:14" x14ac:dyDescent="0.25">
      <c r="K13" t="s">
        <v>46</v>
      </c>
      <c r="L13" s="32"/>
      <c r="M13" s="32"/>
      <c r="N13" s="208">
        <v>25021522.215294853</v>
      </c>
    </row>
    <row r="15" spans="2:14" x14ac:dyDescent="0.25">
      <c r="K15" t="s">
        <v>47</v>
      </c>
      <c r="N15" s="207">
        <f>N11-N13</f>
        <v>3942.1959057115018</v>
      </c>
    </row>
    <row r="16" spans="2:14" x14ac:dyDescent="0.25">
      <c r="K16" t="s">
        <v>48</v>
      </c>
      <c r="N16" s="44">
        <f>N15/N13</f>
        <v>1.5755220133256977E-4</v>
      </c>
    </row>
  </sheetData>
  <mergeCells count="9">
    <mergeCell ref="B3:N3"/>
    <mergeCell ref="B4:N4"/>
    <mergeCell ref="B5:B6"/>
    <mergeCell ref="C5:C6"/>
    <mergeCell ref="D5:D6"/>
    <mergeCell ref="E5:F5"/>
    <mergeCell ref="G5:H5"/>
    <mergeCell ref="I5:J5"/>
    <mergeCell ref="K5:N5"/>
  </mergeCells>
  <pageMargins left="0.7" right="0.7" top="0.75" bottom="0.75" header="0.3" footer="0.3"/>
  <pageSetup scale="6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A42D4-51B4-48E3-8F1C-FF7356E430DE}">
  <sheetPr>
    <tabColor theme="9" tint="0.79998168889431442"/>
    <pageSetUpPr fitToPage="1"/>
  </sheetPr>
  <dimension ref="A2:S26"/>
  <sheetViews>
    <sheetView showGridLines="0" zoomScaleNormal="100" workbookViewId="0">
      <selection activeCell="K12" sqref="K12:M12"/>
    </sheetView>
  </sheetViews>
  <sheetFormatPr defaultColWidth="9.140625" defaultRowHeight="15" x14ac:dyDescent="0.25"/>
  <cols>
    <col min="1" max="1" width="2.85546875" customWidth="1"/>
    <col min="2" max="2" width="19.85546875" customWidth="1"/>
    <col min="3" max="3" width="6.28515625" customWidth="1"/>
    <col min="4" max="4" width="10.140625" customWidth="1"/>
    <col min="5" max="5" width="12.7109375" bestFit="1" customWidth="1"/>
    <col min="6" max="6" width="9" bestFit="1" customWidth="1"/>
    <col min="7" max="8" width="8.85546875" bestFit="1" customWidth="1"/>
    <col min="9" max="9" width="9.140625" bestFit="1" customWidth="1"/>
    <col min="10" max="10" width="11.140625" bestFit="1" customWidth="1"/>
    <col min="11" max="11" width="11.7109375" bestFit="1" customWidth="1"/>
    <col min="12" max="12" width="12.140625" bestFit="1" customWidth="1"/>
    <col min="13" max="13" width="14.140625" bestFit="1" customWidth="1"/>
    <col min="14" max="14" width="5.140625" bestFit="1" customWidth="1"/>
    <col min="15" max="15" width="8.7109375" style="103" customWidth="1"/>
    <col min="16" max="16" width="19" style="103" bestFit="1" customWidth="1"/>
    <col min="17" max="17" width="15.28515625" bestFit="1" customWidth="1"/>
    <col min="18" max="18" width="12.5703125" bestFit="1" customWidth="1"/>
    <col min="19" max="19" width="10.5703125" bestFit="1" customWidth="1"/>
  </cols>
  <sheetData>
    <row r="2" spans="2:19" ht="15.75" x14ac:dyDescent="0.25">
      <c r="B2" s="232" t="s">
        <v>119</v>
      </c>
      <c r="C2" s="232"/>
      <c r="D2" s="232"/>
      <c r="E2" s="232"/>
      <c r="F2" s="232"/>
      <c r="G2" s="232"/>
      <c r="H2" s="232"/>
      <c r="I2" s="232"/>
      <c r="J2" s="232"/>
      <c r="K2" s="232"/>
      <c r="L2" s="232"/>
      <c r="M2" s="232"/>
    </row>
    <row r="3" spans="2:19" ht="16.5" thickBot="1" x14ac:dyDescent="0.3">
      <c r="B3" s="60"/>
      <c r="C3" s="60"/>
      <c r="D3" s="60"/>
      <c r="E3" s="60"/>
      <c r="F3" s="60"/>
      <c r="G3" s="60"/>
      <c r="H3" s="60"/>
      <c r="I3" s="60"/>
      <c r="J3" s="60"/>
      <c r="K3" s="60"/>
      <c r="L3" s="60"/>
      <c r="M3" s="61"/>
    </row>
    <row r="4" spans="2:19" x14ac:dyDescent="0.25">
      <c r="B4" s="283" t="s">
        <v>64</v>
      </c>
      <c r="C4" s="284"/>
      <c r="D4" s="284"/>
      <c r="E4" s="284"/>
      <c r="F4" s="284"/>
      <c r="G4" s="284"/>
      <c r="H4" s="284"/>
      <c r="I4" s="284"/>
      <c r="J4" s="284"/>
      <c r="K4" s="65" t="s">
        <v>61</v>
      </c>
      <c r="L4" s="65" t="s">
        <v>62</v>
      </c>
      <c r="M4" s="66" t="s">
        <v>63</v>
      </c>
      <c r="O4" s="104" t="s">
        <v>82</v>
      </c>
      <c r="P4" s="104"/>
    </row>
    <row r="5" spans="2:19" x14ac:dyDescent="0.25">
      <c r="B5" s="285" t="s">
        <v>120</v>
      </c>
      <c r="C5" s="286"/>
      <c r="D5" s="286"/>
      <c r="E5" s="286"/>
      <c r="F5" s="286"/>
      <c r="G5" s="286"/>
      <c r="H5" s="286"/>
      <c r="I5" s="286"/>
      <c r="J5" s="286"/>
      <c r="K5" s="126">
        <f>'Indexed Revenue'!T5</f>
        <v>19466375.04886828</v>
      </c>
      <c r="L5" s="126">
        <f>'Indexed Revenue'!T6</f>
        <v>5195439.9942366173</v>
      </c>
      <c r="M5" s="124">
        <f>SUM(K5:L5)</f>
        <v>24661815.043104898</v>
      </c>
      <c r="N5" s="43">
        <f>M5-('Indexed Revenue'!T5+'Indexed Revenue'!T6)</f>
        <v>0</v>
      </c>
      <c r="Q5" t="s">
        <v>61</v>
      </c>
      <c r="R5" t="s">
        <v>62</v>
      </c>
      <c r="S5" t="s">
        <v>42</v>
      </c>
    </row>
    <row r="6" spans="2:19" x14ac:dyDescent="0.25">
      <c r="B6" s="285" t="s">
        <v>121</v>
      </c>
      <c r="C6" s="286"/>
      <c r="D6" s="286"/>
      <c r="E6" s="286"/>
      <c r="F6" s="286"/>
      <c r="G6" s="286"/>
      <c r="H6" s="286"/>
      <c r="I6" s="286"/>
      <c r="J6" s="286"/>
      <c r="K6" s="140">
        <f>Q6+Q7</f>
        <v>1148638</v>
      </c>
      <c r="L6" s="140">
        <f>R6+R7</f>
        <v>306532</v>
      </c>
      <c r="M6" s="124">
        <f>SUM(K6:L6)</f>
        <v>1455170</v>
      </c>
      <c r="O6" s="103">
        <v>1</v>
      </c>
      <c r="P6" t="s">
        <v>110</v>
      </c>
      <c r="Q6" s="140">
        <v>759331</v>
      </c>
      <c r="R6" s="140">
        <v>202632</v>
      </c>
      <c r="S6" s="43">
        <f>SUM(Q6:R6)</f>
        <v>961963</v>
      </c>
    </row>
    <row r="7" spans="2:19" ht="15.75" thickBot="1" x14ac:dyDescent="0.3">
      <c r="B7" s="287" t="s">
        <v>42</v>
      </c>
      <c r="C7" s="288"/>
      <c r="D7" s="288"/>
      <c r="E7" s="288"/>
      <c r="F7" s="288"/>
      <c r="G7" s="288"/>
      <c r="H7" s="288"/>
      <c r="I7" s="288"/>
      <c r="J7" s="289"/>
      <c r="K7" s="125">
        <f>SUM(K5:K6)</f>
        <v>20615013.04886828</v>
      </c>
      <c r="L7" s="125">
        <f>SUM(L5:L6)</f>
        <v>5501971.9942366173</v>
      </c>
      <c r="M7" s="125">
        <f>SUM(M5:M6)</f>
        <v>26116985.043104898</v>
      </c>
      <c r="P7" t="s">
        <v>122</v>
      </c>
      <c r="Q7" s="140">
        <v>389307</v>
      </c>
      <c r="R7" s="140">
        <v>103900</v>
      </c>
      <c r="S7" s="43">
        <f>SUM(Q7:R7)</f>
        <v>493207</v>
      </c>
    </row>
    <row r="8" spans="2:19" ht="15.75" thickBot="1" x14ac:dyDescent="0.3">
      <c r="B8" s="57"/>
      <c r="C8" s="57"/>
      <c r="D8" s="57"/>
      <c r="E8" s="57"/>
      <c r="F8" s="57"/>
      <c r="G8" s="57"/>
      <c r="H8" s="57"/>
      <c r="I8" s="57"/>
      <c r="J8" s="57"/>
      <c r="K8" s="57"/>
      <c r="L8" s="57"/>
      <c r="M8" s="57"/>
      <c r="O8" s="104" t="s">
        <v>42</v>
      </c>
      <c r="P8" s="104"/>
      <c r="Q8" s="207">
        <f>SUM(Q6:Q7)</f>
        <v>1148638</v>
      </c>
      <c r="R8" s="207">
        <f>SUM(R6:R7)</f>
        <v>306532</v>
      </c>
      <c r="S8" s="43">
        <f>SUM(S6:S7)</f>
        <v>1455170</v>
      </c>
    </row>
    <row r="9" spans="2:19" x14ac:dyDescent="0.25">
      <c r="B9" s="265" t="s">
        <v>123</v>
      </c>
      <c r="C9" s="266"/>
      <c r="D9" s="266"/>
      <c r="E9" s="266"/>
      <c r="F9" s="266"/>
      <c r="G9" s="266"/>
      <c r="H9" s="266"/>
      <c r="I9" s="266"/>
      <c r="J9" s="266"/>
      <c r="K9" s="266"/>
      <c r="L9" s="266"/>
      <c r="M9" s="267"/>
      <c r="S9" s="210">
        <f>S8-SUM(Q8:R8)</f>
        <v>0</v>
      </c>
    </row>
    <row r="10" spans="2:19" x14ac:dyDescent="0.25">
      <c r="B10" s="268" t="s">
        <v>54</v>
      </c>
      <c r="C10" s="269"/>
      <c r="D10" s="269"/>
      <c r="E10" s="269"/>
      <c r="F10" s="269"/>
      <c r="G10" s="269"/>
      <c r="H10" s="269"/>
      <c r="I10" s="269"/>
      <c r="J10" s="269"/>
      <c r="K10" s="269"/>
      <c r="L10" s="269"/>
      <c r="M10" s="270"/>
      <c r="Q10" s="165"/>
      <c r="R10" s="165"/>
    </row>
    <row r="11" spans="2:19" x14ac:dyDescent="0.25">
      <c r="B11" s="271" t="s">
        <v>124</v>
      </c>
      <c r="C11" s="272"/>
      <c r="D11" s="272"/>
      <c r="E11" s="272"/>
      <c r="F11" s="272"/>
      <c r="G11" s="272"/>
      <c r="H11" s="272"/>
      <c r="I11" s="272"/>
      <c r="J11" s="272"/>
      <c r="K11" s="272"/>
      <c r="L11" s="273"/>
      <c r="M11" s="186">
        <v>3.5400000000000001E-2</v>
      </c>
      <c r="O11" s="103">
        <v>2</v>
      </c>
    </row>
    <row r="12" spans="2:19" x14ac:dyDescent="0.25">
      <c r="B12" s="274" t="s">
        <v>26</v>
      </c>
      <c r="C12" s="275" t="s">
        <v>6</v>
      </c>
      <c r="D12" s="276" t="s">
        <v>137</v>
      </c>
      <c r="E12" s="269" t="s">
        <v>28</v>
      </c>
      <c r="F12" s="269"/>
      <c r="G12" s="269" t="s">
        <v>29</v>
      </c>
      <c r="H12" s="269"/>
      <c r="I12" s="269" t="s">
        <v>30</v>
      </c>
      <c r="J12" s="269"/>
      <c r="K12" s="269" t="s">
        <v>59</v>
      </c>
      <c r="L12" s="269"/>
      <c r="M12" s="270"/>
    </row>
    <row r="13" spans="2:19" ht="38.25" x14ac:dyDescent="0.25">
      <c r="B13" s="274"/>
      <c r="C13" s="275"/>
      <c r="D13" s="277"/>
      <c r="E13" s="8" t="s">
        <v>138</v>
      </c>
      <c r="F13" s="8" t="s">
        <v>139</v>
      </c>
      <c r="G13" s="28" t="s">
        <v>34</v>
      </c>
      <c r="H13" s="28" t="s">
        <v>35</v>
      </c>
      <c r="I13" s="28" t="s">
        <v>8</v>
      </c>
      <c r="J13" s="28" t="s">
        <v>36</v>
      </c>
      <c r="K13" s="28" t="s">
        <v>37</v>
      </c>
      <c r="L13" s="28" t="s">
        <v>38</v>
      </c>
      <c r="M13" s="42" t="s">
        <v>39</v>
      </c>
    </row>
    <row r="14" spans="2:19" x14ac:dyDescent="0.25">
      <c r="B14" s="10" t="s">
        <v>55</v>
      </c>
      <c r="C14" s="129" t="s">
        <v>32</v>
      </c>
      <c r="D14" s="139">
        <v>8115.5292008802571</v>
      </c>
      <c r="E14" s="140">
        <v>84857055.570733279</v>
      </c>
      <c r="F14" s="141"/>
      <c r="G14" s="130">
        <f>K14/M14</f>
        <v>1</v>
      </c>
      <c r="H14" s="130">
        <f>L14/M14</f>
        <v>0</v>
      </c>
      <c r="I14" s="143">
        <f>ROUND('Rate Summary'!F9*(1+M11),2)</f>
        <v>64.31</v>
      </c>
      <c r="J14" s="144">
        <f>ROUND('Rate Summary'!F10*(1+M11),4)</f>
        <v>0</v>
      </c>
      <c r="K14" s="126">
        <f>D14*I14*12</f>
        <v>6262916.1949033123</v>
      </c>
      <c r="L14" s="126">
        <f>E14*J14</f>
        <v>0</v>
      </c>
      <c r="M14" s="132">
        <f>SUM(K14:L14)</f>
        <v>6262916.1949033123</v>
      </c>
      <c r="O14" s="103" t="s">
        <v>83</v>
      </c>
    </row>
    <row r="15" spans="2:19" x14ac:dyDescent="0.25">
      <c r="B15" s="10" t="s">
        <v>56</v>
      </c>
      <c r="C15" s="129" t="s">
        <v>32</v>
      </c>
      <c r="D15" s="139">
        <v>997.31590555008074</v>
      </c>
      <c r="E15" s="140">
        <v>28480010.757447898</v>
      </c>
      <c r="F15" s="141"/>
      <c r="G15" s="130">
        <f t="shared" ref="G15:G16" si="0">K15/M15</f>
        <v>0.22988011356196805</v>
      </c>
      <c r="H15" s="130">
        <f t="shared" ref="H15:H16" si="1">L15/M15</f>
        <v>0.77011988643803198</v>
      </c>
      <c r="I15" s="143">
        <f>ROUND('Rate Summary'!F13*(1+M11),2)</f>
        <v>28.84</v>
      </c>
      <c r="J15" s="144">
        <f>ROUND('Rate Summary'!F14*(1+M11),4)</f>
        <v>4.0599999999999997E-2</v>
      </c>
      <c r="K15" s="126">
        <f>D15*I15*12</f>
        <v>345151.08859277196</v>
      </c>
      <c r="L15" s="126">
        <f>E15*J15</f>
        <v>1156288.4367523845</v>
      </c>
      <c r="M15" s="132">
        <f t="shared" ref="M15:M16" si="2">SUM(K15:L15)</f>
        <v>1501439.5253451564</v>
      </c>
      <c r="O15" s="103">
        <v>3</v>
      </c>
    </row>
    <row r="16" spans="2:19" x14ac:dyDescent="0.25">
      <c r="B16" s="10" t="s">
        <v>13</v>
      </c>
      <c r="C16" s="129" t="s">
        <v>33</v>
      </c>
      <c r="D16" s="142">
        <f>'2020 COS Eq Rates and Revenue'!D8</f>
        <v>37.282220262380214</v>
      </c>
      <c r="E16" s="141"/>
      <c r="F16" s="131">
        <f>'2020 COS Eq Rates and Revenue'!F8</f>
        <v>248604.90668572392</v>
      </c>
      <c r="G16" s="130">
        <f t="shared" si="0"/>
        <v>0.25777974854845193</v>
      </c>
      <c r="H16" s="130">
        <f t="shared" si="1"/>
        <v>0.74222025145154813</v>
      </c>
      <c r="I16" s="145">
        <f>ROUND('Rate Summary'!F17*(1+M11),2)</f>
        <v>742.06</v>
      </c>
      <c r="J16" s="146">
        <f>ROUND('Rate Summary'!F18*(1+M11),4)</f>
        <v>3.8450000000000002</v>
      </c>
      <c r="K16" s="126">
        <f>D16*I16*12</f>
        <v>331987.73241482233</v>
      </c>
      <c r="L16" s="131">
        <f>F16*J16</f>
        <v>955885.86620660848</v>
      </c>
      <c r="M16" s="132">
        <f t="shared" si="2"/>
        <v>1287873.5986214308</v>
      </c>
    </row>
    <row r="17" spans="1:16" x14ac:dyDescent="0.25">
      <c r="B17" s="280" t="s">
        <v>60</v>
      </c>
      <c r="C17" s="281"/>
      <c r="D17" s="281"/>
      <c r="E17" s="281"/>
      <c r="F17" s="281"/>
      <c r="G17" s="281"/>
      <c r="H17" s="281"/>
      <c r="I17" s="281"/>
      <c r="J17" s="281"/>
      <c r="K17" s="281"/>
      <c r="L17" s="282"/>
      <c r="M17" s="132">
        <f>'2020 COS Eq Rates and Revenue'!M8</f>
        <v>-110187.67683102925</v>
      </c>
    </row>
    <row r="18" spans="1:16" x14ac:dyDescent="0.25">
      <c r="B18" s="113"/>
      <c r="C18" s="114"/>
      <c r="D18" s="114"/>
      <c r="E18" s="114"/>
      <c r="F18" s="114"/>
      <c r="G18" s="114"/>
      <c r="H18" s="114"/>
      <c r="I18" s="114"/>
      <c r="J18" s="114"/>
      <c r="K18" s="114"/>
      <c r="L18" s="114"/>
      <c r="M18" s="115"/>
    </row>
    <row r="19" spans="1:16" ht="15.75" thickBot="1" x14ac:dyDescent="0.3">
      <c r="B19" s="278" t="s">
        <v>136</v>
      </c>
      <c r="C19" s="279"/>
      <c r="D19" s="279"/>
      <c r="E19" s="279"/>
      <c r="F19" s="279"/>
      <c r="G19" s="279"/>
      <c r="H19" s="279"/>
      <c r="I19" s="279"/>
      <c r="J19" s="279"/>
      <c r="K19" s="279"/>
      <c r="L19" s="279"/>
      <c r="M19" s="63">
        <f>M7-SUM(M14:M17)</f>
        <v>17174943.401066028</v>
      </c>
      <c r="O19" s="105"/>
      <c r="P19" s="105"/>
    </row>
    <row r="20" spans="1:16" x14ac:dyDescent="0.25">
      <c r="B20" s="57"/>
      <c r="C20" s="57"/>
      <c r="D20" s="57"/>
      <c r="E20" s="57"/>
      <c r="F20" s="57"/>
      <c r="G20" s="57"/>
      <c r="H20" s="57"/>
      <c r="I20" s="57"/>
      <c r="J20" s="57"/>
      <c r="K20" s="57"/>
      <c r="L20" s="116"/>
      <c r="M20" s="117"/>
    </row>
    <row r="21" spans="1:16" x14ac:dyDescent="0.25">
      <c r="B21" s="127" t="s">
        <v>57</v>
      </c>
      <c r="C21" s="57"/>
      <c r="D21" s="57"/>
      <c r="E21" s="57"/>
      <c r="F21" s="57"/>
      <c r="G21" s="57"/>
      <c r="H21" s="57"/>
      <c r="I21" s="57"/>
      <c r="J21" s="57"/>
      <c r="K21" s="57"/>
      <c r="L21" s="57"/>
      <c r="M21" s="57"/>
    </row>
    <row r="22" spans="1:16" x14ac:dyDescent="0.25">
      <c r="A22" s="5">
        <v>1</v>
      </c>
      <c r="B22" s="128" t="s">
        <v>111</v>
      </c>
      <c r="C22" s="57"/>
      <c r="D22" s="57"/>
      <c r="E22" s="57"/>
      <c r="F22" s="57"/>
      <c r="G22" s="57"/>
      <c r="H22" s="57"/>
      <c r="I22" s="57"/>
      <c r="J22" s="57"/>
      <c r="K22" s="57"/>
      <c r="L22" s="57"/>
      <c r="M22" s="154"/>
    </row>
    <row r="23" spans="1:16" x14ac:dyDescent="0.25">
      <c r="A23" s="5">
        <v>2</v>
      </c>
      <c r="B23" s="128" t="s">
        <v>125</v>
      </c>
      <c r="C23" s="57"/>
      <c r="D23" s="57"/>
      <c r="E23" s="57"/>
      <c r="F23" s="57"/>
      <c r="G23" s="57"/>
      <c r="H23" s="57"/>
      <c r="I23" s="57"/>
      <c r="J23" s="57"/>
      <c r="K23" s="57"/>
      <c r="L23" s="57"/>
      <c r="M23" s="118"/>
    </row>
    <row r="24" spans="1:16" x14ac:dyDescent="0.25">
      <c r="A24" s="5">
        <v>3</v>
      </c>
      <c r="B24" s="128" t="s">
        <v>58</v>
      </c>
      <c r="C24" s="57"/>
      <c r="D24" s="57"/>
      <c r="E24" s="57"/>
      <c r="F24" s="57"/>
      <c r="G24" s="57"/>
      <c r="H24" s="57"/>
      <c r="I24" s="57"/>
      <c r="J24" s="57"/>
      <c r="K24" s="57"/>
      <c r="L24" s="57"/>
      <c r="M24" s="57"/>
    </row>
    <row r="25" spans="1:16" x14ac:dyDescent="0.25">
      <c r="A25" s="5">
        <v>4</v>
      </c>
      <c r="B25" s="128" t="s">
        <v>97</v>
      </c>
      <c r="C25" s="57"/>
      <c r="D25" s="57"/>
      <c r="E25" s="57"/>
      <c r="F25" s="57"/>
      <c r="G25" s="57"/>
      <c r="H25" s="57"/>
      <c r="I25" s="57"/>
      <c r="J25" s="57"/>
      <c r="K25" s="57"/>
      <c r="L25" s="57"/>
      <c r="M25" s="118"/>
    </row>
    <row r="26" spans="1:16" x14ac:dyDescent="0.25">
      <c r="A26" s="209" t="s">
        <v>140</v>
      </c>
      <c r="B26" s="128" t="s">
        <v>141</v>
      </c>
      <c r="M26" s="64"/>
    </row>
  </sheetData>
  <mergeCells count="17">
    <mergeCell ref="B19:L19"/>
    <mergeCell ref="B17:L17"/>
    <mergeCell ref="B4:J4"/>
    <mergeCell ref="B5:J5"/>
    <mergeCell ref="B6:J6"/>
    <mergeCell ref="B7:J7"/>
    <mergeCell ref="B2:M2"/>
    <mergeCell ref="B9:M9"/>
    <mergeCell ref="B10:M10"/>
    <mergeCell ref="B11:L11"/>
    <mergeCell ref="B12:B13"/>
    <mergeCell ref="C12:C13"/>
    <mergeCell ref="D12:D13"/>
    <mergeCell ref="E12:F12"/>
    <mergeCell ref="G12:H12"/>
    <mergeCell ref="I12:J12"/>
    <mergeCell ref="K12:M12"/>
  </mergeCells>
  <pageMargins left="0.7" right="0.7" top="0.75" bottom="0.75" header="0.3" footer="0.3"/>
  <pageSetup scale="5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EFDCB-1D57-4877-A04B-86BB3C798B19}">
  <sheetPr>
    <tabColor theme="9" tint="0.79998168889431442"/>
    <pageSetUpPr fitToPage="1"/>
  </sheetPr>
  <dimension ref="B3:P38"/>
  <sheetViews>
    <sheetView showGridLines="0" topLeftCell="A14" workbookViewId="0">
      <selection activeCell="W26" sqref="W26"/>
    </sheetView>
  </sheetViews>
  <sheetFormatPr defaultColWidth="9.140625" defaultRowHeight="15" x14ac:dyDescent="0.25"/>
  <cols>
    <col min="1" max="1" width="2.85546875" customWidth="1"/>
    <col min="2" max="2" width="16.28515625" customWidth="1"/>
    <col min="3" max="3" width="6.28515625" customWidth="1"/>
    <col min="4" max="4" width="10.140625" customWidth="1"/>
    <col min="5" max="5" width="12.85546875" bestFit="1" customWidth="1"/>
    <col min="6" max="6" width="9.140625" bestFit="1" customWidth="1"/>
    <col min="7" max="8" width="10.140625" bestFit="1" customWidth="1"/>
    <col min="9" max="9" width="9.7109375" bestFit="1" customWidth="1"/>
    <col min="10" max="10" width="9.140625" bestFit="1" customWidth="1"/>
    <col min="11" max="12" width="11.85546875" bestFit="1" customWidth="1"/>
    <col min="13" max="13" width="11.7109375" customWidth="1"/>
    <col min="14" max="14" width="11.85546875" bestFit="1" customWidth="1"/>
    <col min="15" max="15" width="10.140625" customWidth="1"/>
    <col min="16" max="16" width="12.85546875" customWidth="1"/>
  </cols>
  <sheetData>
    <row r="3" spans="2:14" x14ac:dyDescent="0.25">
      <c r="B3" s="254" t="s">
        <v>41</v>
      </c>
      <c r="C3" s="255"/>
      <c r="D3" s="255"/>
      <c r="E3" s="255"/>
      <c r="F3" s="255"/>
      <c r="G3" s="255"/>
      <c r="H3" s="255"/>
      <c r="I3" s="255"/>
      <c r="J3" s="255"/>
      <c r="K3" s="255"/>
      <c r="L3" s="255"/>
      <c r="M3" s="255"/>
      <c r="N3" s="256"/>
    </row>
    <row r="4" spans="2:14" ht="15" customHeight="1" x14ac:dyDescent="0.25">
      <c r="B4" s="257" t="s">
        <v>26</v>
      </c>
      <c r="C4" s="259" t="s">
        <v>6</v>
      </c>
      <c r="D4" s="261" t="s">
        <v>27</v>
      </c>
      <c r="E4" s="263" t="s">
        <v>28</v>
      </c>
      <c r="F4" s="264"/>
      <c r="G4" s="263" t="s">
        <v>29</v>
      </c>
      <c r="H4" s="264"/>
      <c r="I4" s="263" t="s">
        <v>30</v>
      </c>
      <c r="J4" s="264"/>
      <c r="K4" s="263" t="s">
        <v>31</v>
      </c>
      <c r="L4" s="255"/>
      <c r="M4" s="255"/>
      <c r="N4" s="256"/>
    </row>
    <row r="5" spans="2:14" ht="60" x14ac:dyDescent="0.25">
      <c r="B5" s="258"/>
      <c r="C5" s="260"/>
      <c r="D5" s="262"/>
      <c r="E5" s="45" t="s">
        <v>32</v>
      </c>
      <c r="F5" s="45" t="s">
        <v>33</v>
      </c>
      <c r="G5" s="46" t="s">
        <v>34</v>
      </c>
      <c r="H5" s="46" t="s">
        <v>35</v>
      </c>
      <c r="I5" s="46" t="s">
        <v>8</v>
      </c>
      <c r="J5" s="46" t="s">
        <v>36</v>
      </c>
      <c r="K5" s="46" t="s">
        <v>37</v>
      </c>
      <c r="L5" s="46" t="s">
        <v>38</v>
      </c>
      <c r="M5" s="46" t="s">
        <v>44</v>
      </c>
      <c r="N5" s="47" t="s">
        <v>45</v>
      </c>
    </row>
    <row r="6" spans="2:14" x14ac:dyDescent="0.25">
      <c r="B6" s="48" t="s">
        <v>40</v>
      </c>
      <c r="C6" s="6" t="s">
        <v>32</v>
      </c>
      <c r="D6" s="41">
        <v>9112.8451064303372</v>
      </c>
      <c r="E6" s="38">
        <v>113337066.328181</v>
      </c>
      <c r="F6" s="37"/>
      <c r="G6" s="51">
        <v>0.64118373052413569</v>
      </c>
      <c r="H6" s="52">
        <f>1-G6</f>
        <v>0.35881626947586431</v>
      </c>
      <c r="I6" s="39">
        <v>101.8</v>
      </c>
      <c r="J6" s="40">
        <v>5.5E-2</v>
      </c>
      <c r="K6" s="29">
        <f>D6*I6*12</f>
        <v>11132251.582015298</v>
      </c>
      <c r="L6" s="29">
        <f>E6*J6</f>
        <v>6233538.6480499553</v>
      </c>
      <c r="M6" s="37"/>
      <c r="N6" s="30">
        <f>SUM(K6:M6)</f>
        <v>17365790.230065253</v>
      </c>
    </row>
    <row r="7" spans="2:14" x14ac:dyDescent="0.25">
      <c r="B7" s="48" t="s">
        <v>13</v>
      </c>
      <c r="C7" s="6" t="s">
        <v>33</v>
      </c>
      <c r="D7" s="41">
        <v>37.282220262380214</v>
      </c>
      <c r="E7" s="37"/>
      <c r="F7" s="38">
        <v>248604.90668572392</v>
      </c>
      <c r="G7" s="51">
        <v>0.12009672583040554</v>
      </c>
      <c r="H7" s="52">
        <f t="shared" ref="H7:H9" si="0">1-G7</f>
        <v>0.87990327416959446</v>
      </c>
      <c r="I7" s="39">
        <v>1244.17</v>
      </c>
      <c r="J7" s="40">
        <v>16.8475</v>
      </c>
      <c r="K7" s="29">
        <f t="shared" ref="K7:K9" si="1">D7*I7*12</f>
        <v>556625.03980614711</v>
      </c>
      <c r="L7" s="29">
        <f>F7*J7</f>
        <v>4188371.1653877338</v>
      </c>
      <c r="M7" s="38">
        <v>-110187.67683102925</v>
      </c>
      <c r="N7" s="30">
        <f t="shared" ref="N7:N9" si="2">SUM(K7:M7)</f>
        <v>4634808.5283628516</v>
      </c>
    </row>
    <row r="8" spans="2:14" x14ac:dyDescent="0.25">
      <c r="B8" s="48" t="s">
        <v>15</v>
      </c>
      <c r="C8" s="6" t="s">
        <v>32</v>
      </c>
      <c r="D8" s="41">
        <v>2960.1858518389645</v>
      </c>
      <c r="E8" s="38">
        <v>5874372.3645382812</v>
      </c>
      <c r="F8" s="37"/>
      <c r="G8" s="51">
        <v>0.68900916148665659</v>
      </c>
      <c r="H8" s="52">
        <f t="shared" si="0"/>
        <v>0.31099083851334341</v>
      </c>
      <c r="I8" s="39">
        <v>54.8</v>
      </c>
      <c r="J8" s="40">
        <v>0.14960000000000001</v>
      </c>
      <c r="K8" s="29">
        <f t="shared" si="1"/>
        <v>1946618.2161693028</v>
      </c>
      <c r="L8" s="29">
        <f t="shared" ref="L8:L9" si="3">E8*J8</f>
        <v>878806.10573492688</v>
      </c>
      <c r="M8" s="37"/>
      <c r="N8" s="30">
        <f t="shared" si="2"/>
        <v>2825424.3219042299</v>
      </c>
    </row>
    <row r="9" spans="2:14" x14ac:dyDescent="0.25">
      <c r="B9" s="48" t="s">
        <v>16</v>
      </c>
      <c r="C9" s="6" t="s">
        <v>32</v>
      </c>
      <c r="D9" s="41">
        <v>1127.6033016645551</v>
      </c>
      <c r="E9" s="38">
        <v>581104.4520676051</v>
      </c>
      <c r="F9" s="37"/>
      <c r="G9" s="51">
        <v>0.12619223755769352</v>
      </c>
      <c r="H9" s="52">
        <f t="shared" si="0"/>
        <v>0.87380776244230651</v>
      </c>
      <c r="I9" s="39">
        <v>1.86</v>
      </c>
      <c r="J9" s="40">
        <v>0.2999</v>
      </c>
      <c r="K9" s="29">
        <f t="shared" si="1"/>
        <v>25168.105693152873</v>
      </c>
      <c r="L9" s="29">
        <f t="shared" si="3"/>
        <v>174273.22517507477</v>
      </c>
      <c r="M9" s="37"/>
      <c r="N9" s="30">
        <f t="shared" si="2"/>
        <v>199441.33086822764</v>
      </c>
    </row>
    <row r="10" spans="2:14" s="1" customFormat="1" ht="15.75" thickBot="1" x14ac:dyDescent="0.3">
      <c r="B10" s="34" t="s">
        <v>42</v>
      </c>
      <c r="C10" s="35"/>
      <c r="D10" s="36">
        <f>SUM(D6:D9)</f>
        <v>13237.91648019624</v>
      </c>
      <c r="E10" s="35"/>
      <c r="F10" s="35"/>
      <c r="G10" s="35"/>
      <c r="H10" s="35"/>
      <c r="I10" s="35"/>
      <c r="J10" s="35"/>
      <c r="K10" s="53">
        <f>SUM(K6:K9)</f>
        <v>13660662.9436839</v>
      </c>
      <c r="L10" s="53">
        <f>SUM(L6:L9)</f>
        <v>11474989.144347692</v>
      </c>
      <c r="M10" s="53">
        <f>SUM(M6:M9)</f>
        <v>-110187.67683102925</v>
      </c>
      <c r="N10" s="54">
        <f>SUM(N6:N9)</f>
        <v>25025464.411200564</v>
      </c>
    </row>
    <row r="12" spans="2:14" x14ac:dyDescent="0.25">
      <c r="B12" s="254" t="s">
        <v>99</v>
      </c>
      <c r="C12" s="255"/>
      <c r="D12" s="255"/>
      <c r="E12" s="255"/>
      <c r="F12" s="255"/>
      <c r="G12" s="255"/>
      <c r="H12" s="255"/>
      <c r="I12" s="255"/>
      <c r="J12" s="255"/>
      <c r="K12" s="255"/>
      <c r="L12" s="255"/>
      <c r="M12" s="255"/>
      <c r="N12" s="256"/>
    </row>
    <row r="13" spans="2:14" x14ac:dyDescent="0.25">
      <c r="B13" s="257" t="s">
        <v>26</v>
      </c>
      <c r="C13" s="259" t="s">
        <v>6</v>
      </c>
      <c r="D13" s="261" t="s">
        <v>27</v>
      </c>
      <c r="E13" s="263" t="s">
        <v>28</v>
      </c>
      <c r="F13" s="264"/>
      <c r="G13" s="263" t="s">
        <v>29</v>
      </c>
      <c r="H13" s="264"/>
      <c r="I13" s="263" t="s">
        <v>30</v>
      </c>
      <c r="J13" s="264"/>
      <c r="K13" s="263" t="s">
        <v>31</v>
      </c>
      <c r="L13" s="255"/>
      <c r="M13" s="255"/>
      <c r="N13" s="256"/>
    </row>
    <row r="14" spans="2:14" ht="60" x14ac:dyDescent="0.25">
      <c r="B14" s="258"/>
      <c r="C14" s="260"/>
      <c r="D14" s="262"/>
      <c r="E14" s="45" t="s">
        <v>32</v>
      </c>
      <c r="F14" s="45" t="s">
        <v>33</v>
      </c>
      <c r="G14" s="46" t="s">
        <v>34</v>
      </c>
      <c r="H14" s="46" t="s">
        <v>35</v>
      </c>
      <c r="I14" s="46" t="s">
        <v>8</v>
      </c>
      <c r="J14" s="46" t="s">
        <v>36</v>
      </c>
      <c r="K14" s="46" t="s">
        <v>37</v>
      </c>
      <c r="L14" s="46" t="s">
        <v>38</v>
      </c>
      <c r="M14" s="46" t="s">
        <v>44</v>
      </c>
      <c r="N14" s="47" t="s">
        <v>45</v>
      </c>
    </row>
    <row r="15" spans="2:14" x14ac:dyDescent="0.25">
      <c r="B15" s="48" t="s">
        <v>40</v>
      </c>
      <c r="C15" s="6" t="s">
        <v>32</v>
      </c>
      <c r="D15" s="41">
        <v>9112.8451064303372</v>
      </c>
      <c r="E15" s="38">
        <v>113337066.328181</v>
      </c>
      <c r="F15" s="37"/>
      <c r="G15" s="51">
        <f>K15/$N15</f>
        <v>0.64104491845940414</v>
      </c>
      <c r="H15" s="52">
        <f>1-G15</f>
        <v>0.35895508154059586</v>
      </c>
      <c r="I15" s="39">
        <f>(K15/12)/D15</f>
        <v>103.42879999999998</v>
      </c>
      <c r="J15" s="153">
        <f>(L15)/E15</f>
        <v>5.5880000000000006E-2</v>
      </c>
      <c r="K15" s="29">
        <f>'Indexed Revenue'!C5</f>
        <v>11310367.607327543</v>
      </c>
      <c r="L15" s="29">
        <f>'Indexed Revenue'!D5</f>
        <v>6333275.2664187551</v>
      </c>
      <c r="M15" s="37"/>
      <c r="N15" s="30">
        <f>SUM(K15:M15)</f>
        <v>17643642.873746298</v>
      </c>
    </row>
    <row r="16" spans="2:14" x14ac:dyDescent="0.25">
      <c r="B16" s="48" t="s">
        <v>13</v>
      </c>
      <c r="C16" s="6" t="s">
        <v>33</v>
      </c>
      <c r="D16" s="41">
        <v>37.282220262380214</v>
      </c>
      <c r="E16" s="37"/>
      <c r="F16" s="38">
        <v>248604.90668572392</v>
      </c>
      <c r="G16" s="51">
        <f t="shared" ref="G16:G17" si="4">K16/$N16</f>
        <v>0.12297420456376547</v>
      </c>
      <c r="H16" s="52">
        <f t="shared" ref="H16:H18" si="5">1-G16</f>
        <v>0.87702579543623449</v>
      </c>
      <c r="I16" s="39">
        <f>(K16/12)/D16</f>
        <v>1264.07672</v>
      </c>
      <c r="J16" s="153">
        <f>(L16)/F16</f>
        <v>16.666744351959114</v>
      </c>
      <c r="K16" s="29">
        <f>'Indexed Revenue'!C6</f>
        <v>565531.04044304544</v>
      </c>
      <c r="L16" s="29">
        <f>'Indexed Revenue'!D6</f>
        <v>4143434.4243736118</v>
      </c>
      <c r="M16" s="38">
        <v>-110187.67683102925</v>
      </c>
      <c r="N16" s="30">
        <f t="shared" ref="N16:N18" si="6">SUM(K16:M16)</f>
        <v>4598777.7879856275</v>
      </c>
    </row>
    <row r="17" spans="2:16" x14ac:dyDescent="0.25">
      <c r="B17" s="48" t="s">
        <v>15</v>
      </c>
      <c r="C17" s="6" t="s">
        <v>32</v>
      </c>
      <c r="D17" s="41">
        <v>2960.1858518389645</v>
      </c>
      <c r="E17" s="38">
        <v>5874372.3645382812</v>
      </c>
      <c r="F17" s="37"/>
      <c r="G17" s="51">
        <f t="shared" si="4"/>
        <v>0.68896491089074918</v>
      </c>
      <c r="H17" s="52">
        <f t="shared" si="5"/>
        <v>0.31103508910925082</v>
      </c>
      <c r="I17" s="39">
        <f>(K17/12)/D17</f>
        <v>55.676799999999993</v>
      </c>
      <c r="J17" s="153">
        <f t="shared" ref="J17:J18" si="7">(L17)/E17</f>
        <v>0.15199360000000001</v>
      </c>
      <c r="K17" s="29">
        <f>'Indexed Revenue'!C7</f>
        <v>1977764.1076280116</v>
      </c>
      <c r="L17" s="29">
        <f>'Indexed Revenue'!D7</f>
        <v>892867.0034266857</v>
      </c>
      <c r="M17" s="37"/>
      <c r="N17" s="30">
        <f t="shared" si="6"/>
        <v>2870631.1110546971</v>
      </c>
    </row>
    <row r="18" spans="2:16" x14ac:dyDescent="0.25">
      <c r="B18" s="48" t="s">
        <v>16</v>
      </c>
      <c r="C18" s="6" t="s">
        <v>32</v>
      </c>
      <c r="D18" s="41">
        <v>1127.6033016645551</v>
      </c>
      <c r="E18" s="38">
        <v>581104.4520676051</v>
      </c>
      <c r="F18" s="37"/>
      <c r="G18" s="51">
        <f>K18/$N18</f>
        <v>0.12619302921610381</v>
      </c>
      <c r="H18" s="52">
        <f t="shared" si="5"/>
        <v>0.87380697078389624</v>
      </c>
      <c r="I18" s="39">
        <f>(K18/12)/D18</f>
        <v>1.8897600000000003</v>
      </c>
      <c r="J18" s="153">
        <f t="shared" si="7"/>
        <v>0.30469839999999998</v>
      </c>
      <c r="K18" s="29">
        <f>'Indexed Revenue'!C8</f>
        <v>25570.79538424332</v>
      </c>
      <c r="L18" s="29">
        <f>'Indexed Revenue'!D8</f>
        <v>177061.59677787597</v>
      </c>
      <c r="M18" s="37"/>
      <c r="N18" s="30">
        <f t="shared" si="6"/>
        <v>202632.39216211927</v>
      </c>
      <c r="O18" s="160" t="s">
        <v>49</v>
      </c>
      <c r="P18" s="160"/>
    </row>
    <row r="19" spans="2:16" ht="15.75" thickBot="1" x14ac:dyDescent="0.3">
      <c r="B19" s="34" t="s">
        <v>42</v>
      </c>
      <c r="C19" s="35"/>
      <c r="D19" s="36">
        <f>SUM(D15:D18)</f>
        <v>13237.91648019624</v>
      </c>
      <c r="E19" s="35"/>
      <c r="F19" s="35"/>
      <c r="G19" s="35"/>
      <c r="H19" s="35"/>
      <c r="I19" s="35"/>
      <c r="J19" s="35"/>
      <c r="K19" s="53">
        <f>SUM(K15:K18)</f>
        <v>13879233.550782844</v>
      </c>
      <c r="L19" s="53">
        <f>SUM(L15:L18)</f>
        <v>11546638.29099693</v>
      </c>
      <c r="M19" s="53">
        <f>SUM(M15:M18)</f>
        <v>-110187.67683102925</v>
      </c>
      <c r="N19" s="54">
        <f>SUM(N15:N18)</f>
        <v>25315684.164948739</v>
      </c>
      <c r="O19" s="160" t="s">
        <v>100</v>
      </c>
      <c r="P19" s="161">
        <f>N19+ABS(M16)</f>
        <v>25425871.841779768</v>
      </c>
    </row>
    <row r="20" spans="2:16" x14ac:dyDescent="0.25">
      <c r="O20" s="160" t="s">
        <v>101</v>
      </c>
      <c r="P20" s="162" t="str">
        <f>IF(P19='Indexed Revenue'!E9,"True","No")</f>
        <v>True</v>
      </c>
    </row>
    <row r="21" spans="2:16" x14ac:dyDescent="0.25">
      <c r="B21" s="254" t="s">
        <v>106</v>
      </c>
      <c r="C21" s="255"/>
      <c r="D21" s="255"/>
      <c r="E21" s="255"/>
      <c r="F21" s="255"/>
      <c r="G21" s="255"/>
      <c r="H21" s="255"/>
      <c r="I21" s="255"/>
      <c r="J21" s="255"/>
      <c r="K21" s="255"/>
      <c r="L21" s="255"/>
      <c r="M21" s="255"/>
      <c r="N21" s="256"/>
    </row>
    <row r="22" spans="2:16" x14ac:dyDescent="0.25">
      <c r="B22" s="257" t="s">
        <v>26</v>
      </c>
      <c r="C22" s="259" t="s">
        <v>6</v>
      </c>
      <c r="D22" s="261" t="s">
        <v>27</v>
      </c>
      <c r="E22" s="263" t="s">
        <v>28</v>
      </c>
      <c r="F22" s="264"/>
      <c r="G22" s="263" t="s">
        <v>29</v>
      </c>
      <c r="H22" s="264"/>
      <c r="I22" s="263" t="s">
        <v>30</v>
      </c>
      <c r="J22" s="264"/>
      <c r="K22" s="263" t="s">
        <v>31</v>
      </c>
      <c r="L22" s="255"/>
      <c r="M22" s="255"/>
      <c r="N22" s="256"/>
    </row>
    <row r="23" spans="2:16" ht="60" x14ac:dyDescent="0.25">
      <c r="B23" s="258"/>
      <c r="C23" s="260"/>
      <c r="D23" s="262"/>
      <c r="E23" s="45" t="s">
        <v>32</v>
      </c>
      <c r="F23" s="45" t="s">
        <v>33</v>
      </c>
      <c r="G23" s="46" t="s">
        <v>34</v>
      </c>
      <c r="H23" s="46" t="s">
        <v>35</v>
      </c>
      <c r="I23" s="46" t="s">
        <v>8</v>
      </c>
      <c r="J23" s="46" t="s">
        <v>36</v>
      </c>
      <c r="K23" s="46" t="s">
        <v>37</v>
      </c>
      <c r="L23" s="46" t="s">
        <v>38</v>
      </c>
      <c r="M23" s="46" t="s">
        <v>44</v>
      </c>
      <c r="N23" s="47" t="s">
        <v>45</v>
      </c>
    </row>
    <row r="24" spans="2:16" x14ac:dyDescent="0.25">
      <c r="B24" s="48" t="s">
        <v>40</v>
      </c>
      <c r="C24" s="6" t="s">
        <v>32</v>
      </c>
      <c r="D24" s="41">
        <v>9112.8451064303372</v>
      </c>
      <c r="E24" s="38">
        <v>113337066.328181</v>
      </c>
      <c r="F24" s="37"/>
      <c r="G24" s="51">
        <f>K24/$N24</f>
        <v>0.64104491845940414</v>
      </c>
      <c r="H24" s="52">
        <f>1-G24</f>
        <v>0.35895508154059586</v>
      </c>
      <c r="I24" s="158">
        <f>(K24/12)/D24</f>
        <v>106.22137759999998</v>
      </c>
      <c r="J24" s="159">
        <f>(L24)/E24</f>
        <v>5.7388760000000004E-2</v>
      </c>
      <c r="K24" s="126">
        <f>'Indexed Revenue'!H5</f>
        <v>11615747.532725386</v>
      </c>
      <c r="L24" s="126">
        <f>'Indexed Revenue'!I5</f>
        <v>6504273.6986120613</v>
      </c>
      <c r="M24" s="141"/>
      <c r="N24" s="132">
        <f>SUM(K24:M24)</f>
        <v>18120021.231337447</v>
      </c>
    </row>
    <row r="25" spans="2:16" x14ac:dyDescent="0.25">
      <c r="B25" s="48" t="s">
        <v>13</v>
      </c>
      <c r="C25" s="6" t="s">
        <v>33</v>
      </c>
      <c r="D25" s="41">
        <v>37.282220262380214</v>
      </c>
      <c r="E25" s="37"/>
      <c r="F25" s="38">
        <v>248604.90668572392</v>
      </c>
      <c r="G25" s="51">
        <f t="shared" ref="G25:G26" si="8">K25/$N25</f>
        <v>0.12289678968099527</v>
      </c>
      <c r="H25" s="52">
        <f t="shared" ref="H25:H27" si="9">1-G25</f>
        <v>0.87710321031900473</v>
      </c>
      <c r="I25" s="158">
        <f t="shared" ref="I25:I26" si="10">(K25/12)/D25</f>
        <v>1298.2067914399997</v>
      </c>
      <c r="J25" s="159">
        <f>(L25)/F25</f>
        <v>17.11674644946201</v>
      </c>
      <c r="K25" s="126">
        <f>'Indexed Revenue'!H6</f>
        <v>580800.37853500759</v>
      </c>
      <c r="L25" s="126">
        <f>'Indexed Revenue'!I6</f>
        <v>4255307.1538316989</v>
      </c>
      <c r="M25" s="140">
        <v>-110187.67683102925</v>
      </c>
      <c r="N25" s="132">
        <f t="shared" ref="N25:N27" si="11">SUM(K25:M25)</f>
        <v>4725919.8555356767</v>
      </c>
    </row>
    <row r="26" spans="2:16" x14ac:dyDescent="0.25">
      <c r="B26" s="48" t="s">
        <v>15</v>
      </c>
      <c r="C26" s="6" t="s">
        <v>32</v>
      </c>
      <c r="D26" s="41">
        <v>2960.1858518389645</v>
      </c>
      <c r="E26" s="38">
        <v>5874372.3645382812</v>
      </c>
      <c r="F26" s="37"/>
      <c r="G26" s="51">
        <f t="shared" si="8"/>
        <v>0.68896491089074907</v>
      </c>
      <c r="H26" s="52">
        <f t="shared" si="9"/>
        <v>0.31103508910925093</v>
      </c>
      <c r="I26" s="158">
        <f t="shared" si="10"/>
        <v>57.180073599999986</v>
      </c>
      <c r="J26" s="159">
        <f t="shared" ref="J26:J27" si="12">(L26)/E26</f>
        <v>0.1560974272</v>
      </c>
      <c r="K26" s="126">
        <f>'Indexed Revenue'!H7</f>
        <v>2031163.7385339676</v>
      </c>
      <c r="L26" s="126">
        <f>'Indexed Revenue'!I7</f>
        <v>916974.41251920618</v>
      </c>
      <c r="M26" s="141"/>
      <c r="N26" s="132">
        <f t="shared" si="11"/>
        <v>2948138.1510531739</v>
      </c>
    </row>
    <row r="27" spans="2:16" x14ac:dyDescent="0.25">
      <c r="B27" s="48" t="s">
        <v>16</v>
      </c>
      <c r="C27" s="6" t="s">
        <v>32</v>
      </c>
      <c r="D27" s="41">
        <v>1127.6033016645551</v>
      </c>
      <c r="E27" s="38">
        <v>581104.4520676051</v>
      </c>
      <c r="F27" s="37"/>
      <c r="G27" s="51">
        <f>K27/$N27</f>
        <v>0.12619302921610379</v>
      </c>
      <c r="H27" s="52">
        <f t="shared" si="9"/>
        <v>0.87380697078389624</v>
      </c>
      <c r="I27" s="158">
        <f>(K27/12)/D27</f>
        <v>1.9407835199999999</v>
      </c>
      <c r="J27" s="159">
        <f t="shared" si="12"/>
        <v>0.3129252568</v>
      </c>
      <c r="K27" s="126">
        <f>'Indexed Revenue'!H8</f>
        <v>26261.206859617887</v>
      </c>
      <c r="L27" s="126">
        <f>'Indexed Revenue'!I8</f>
        <v>181842.2598908786</v>
      </c>
      <c r="M27" s="141"/>
      <c r="N27" s="132">
        <f t="shared" si="11"/>
        <v>208103.46675049647</v>
      </c>
      <c r="O27" s="160" t="s">
        <v>49</v>
      </c>
      <c r="P27" s="160"/>
    </row>
    <row r="28" spans="2:16" ht="15.75" thickBot="1" x14ac:dyDescent="0.3">
      <c r="B28" s="34" t="s">
        <v>42</v>
      </c>
      <c r="C28" s="35"/>
      <c r="D28" s="36">
        <f>SUM(D24:D27)</f>
        <v>13237.91648019624</v>
      </c>
      <c r="E28" s="35"/>
      <c r="F28" s="35"/>
      <c r="G28" s="35"/>
      <c r="H28" s="35"/>
      <c r="I28" s="35"/>
      <c r="J28" s="35"/>
      <c r="K28" s="53">
        <f>SUM(K24:K27)</f>
        <v>14253972.856653981</v>
      </c>
      <c r="L28" s="53">
        <f>SUM(L24:L27)</f>
        <v>11858397.524853844</v>
      </c>
      <c r="M28" s="53">
        <f>SUM(M24:M27)</f>
        <v>-110187.67683102925</v>
      </c>
      <c r="N28" s="54">
        <f>SUM(N24:N27)</f>
        <v>26002182.704676792</v>
      </c>
      <c r="O28" s="160" t="s">
        <v>100</v>
      </c>
      <c r="P28" s="161">
        <f>N28+ABS(M25)</f>
        <v>26112370.381507821</v>
      </c>
    </row>
    <row r="29" spans="2:16" x14ac:dyDescent="0.25">
      <c r="O29" s="160" t="s">
        <v>101</v>
      </c>
      <c r="P29" s="162" t="str">
        <f>IF(P28='Indexed Revenue'!H24,"True","No")</f>
        <v>True</v>
      </c>
    </row>
    <row r="30" spans="2:16" x14ac:dyDescent="0.25">
      <c r="B30" s="254" t="s">
        <v>126</v>
      </c>
      <c r="C30" s="255"/>
      <c r="D30" s="255"/>
      <c r="E30" s="255"/>
      <c r="F30" s="255"/>
      <c r="G30" s="255"/>
      <c r="H30" s="255"/>
      <c r="I30" s="255"/>
      <c r="J30" s="255"/>
      <c r="K30" s="255"/>
      <c r="L30" s="255"/>
      <c r="M30" s="255"/>
      <c r="N30" s="256"/>
    </row>
    <row r="31" spans="2:16" x14ac:dyDescent="0.25">
      <c r="B31" s="257" t="s">
        <v>26</v>
      </c>
      <c r="C31" s="259" t="s">
        <v>6</v>
      </c>
      <c r="D31" s="261" t="s">
        <v>27</v>
      </c>
      <c r="E31" s="263" t="s">
        <v>28</v>
      </c>
      <c r="F31" s="264"/>
      <c r="G31" s="263" t="s">
        <v>29</v>
      </c>
      <c r="H31" s="264"/>
      <c r="I31" s="263" t="s">
        <v>30</v>
      </c>
      <c r="J31" s="264"/>
      <c r="K31" s="263" t="s">
        <v>31</v>
      </c>
      <c r="L31" s="255"/>
      <c r="M31" s="255"/>
      <c r="N31" s="256"/>
    </row>
    <row r="32" spans="2:16" ht="60" x14ac:dyDescent="0.25">
      <c r="B32" s="258"/>
      <c r="C32" s="260"/>
      <c r="D32" s="262"/>
      <c r="E32" s="45" t="s">
        <v>32</v>
      </c>
      <c r="F32" s="45" t="s">
        <v>33</v>
      </c>
      <c r="G32" s="46" t="s">
        <v>34</v>
      </c>
      <c r="H32" s="46" t="s">
        <v>35</v>
      </c>
      <c r="I32" s="46" t="s">
        <v>8</v>
      </c>
      <c r="J32" s="46" t="s">
        <v>36</v>
      </c>
      <c r="K32" s="46" t="s">
        <v>37</v>
      </c>
      <c r="L32" s="46" t="s">
        <v>38</v>
      </c>
      <c r="M32" s="46" t="s">
        <v>44</v>
      </c>
      <c r="N32" s="47" t="s">
        <v>45</v>
      </c>
    </row>
    <row r="33" spans="2:16" x14ac:dyDescent="0.25">
      <c r="B33" s="48" t="s">
        <v>40</v>
      </c>
      <c r="C33" s="6" t="s">
        <v>32</v>
      </c>
      <c r="D33" s="41">
        <v>9112.8451064303372</v>
      </c>
      <c r="E33" s="38">
        <v>113337066.328181</v>
      </c>
      <c r="F33" s="37"/>
      <c r="G33" s="51">
        <f>K33/$N33</f>
        <v>0.64104491845940414</v>
      </c>
      <c r="H33" s="52">
        <f>1-G33</f>
        <v>0.35895508154059586</v>
      </c>
      <c r="I33" s="158">
        <f>(K33/12)/D33</f>
        <v>114.11383839843516</v>
      </c>
      <c r="J33" s="159">
        <f>(L33)/E33</f>
        <v>6.1652859645520003E-2</v>
      </c>
      <c r="K33" s="126">
        <f>'Indexed Revenue'!R5</f>
        <v>12478820.805901946</v>
      </c>
      <c r="L33" s="126">
        <f>'Indexed Revenue'!S5</f>
        <v>6987554.2429663343</v>
      </c>
      <c r="M33" s="141"/>
      <c r="N33" s="132">
        <f>SUM(K33:M33)</f>
        <v>19466375.04886828</v>
      </c>
    </row>
    <row r="34" spans="2:16" x14ac:dyDescent="0.25">
      <c r="B34" s="48" t="s">
        <v>13</v>
      </c>
      <c r="C34" s="6" t="s">
        <v>33</v>
      </c>
      <c r="D34" s="41">
        <v>37.282220262380214</v>
      </c>
      <c r="E34" s="37"/>
      <c r="F34" s="38">
        <v>248604.90668572392</v>
      </c>
      <c r="G34" s="51">
        <f t="shared" ref="G34:G35" si="13">K34/$N34</f>
        <v>0.12269892806012177</v>
      </c>
      <c r="H34" s="52">
        <f t="shared" ref="H34:H36" si="14">1-G34</f>
        <v>0.87730107193987827</v>
      </c>
      <c r="I34" s="158">
        <f t="shared" ref="I34:I35" si="15">(K34/12)/D34</f>
        <v>1394.6661524575748</v>
      </c>
      <c r="J34" s="159">
        <f>(L34)/F34</f>
        <v>18.388554944149934</v>
      </c>
      <c r="K34" s="126">
        <f>'Indexed Revenue'!R6</f>
        <v>623955.00826091575</v>
      </c>
      <c r="L34" s="126">
        <f>'Indexed Revenue'!S6</f>
        <v>4571484.9859757014</v>
      </c>
      <c r="M34" s="140">
        <v>-110187.67683102925</v>
      </c>
      <c r="N34" s="132">
        <f t="shared" ref="N34:N36" si="16">SUM(K34:M34)</f>
        <v>5085252.317405588</v>
      </c>
    </row>
    <row r="35" spans="2:16" x14ac:dyDescent="0.25">
      <c r="B35" s="48" t="s">
        <v>15</v>
      </c>
      <c r="C35" s="6" t="s">
        <v>32</v>
      </c>
      <c r="D35" s="41">
        <v>2960.1858518389645</v>
      </c>
      <c r="E35" s="38">
        <v>5874372.3645382812</v>
      </c>
      <c r="F35" s="37"/>
      <c r="G35" s="51">
        <f t="shared" si="13"/>
        <v>0.68896491089074907</v>
      </c>
      <c r="H35" s="52">
        <f t="shared" si="14"/>
        <v>0.31103508910925093</v>
      </c>
      <c r="I35" s="158">
        <f t="shared" si="15"/>
        <v>61.428667428627179</v>
      </c>
      <c r="J35" s="159">
        <f t="shared" ref="J35:J36" si="17">(L35)/E35</f>
        <v>0.16769577823581439</v>
      </c>
      <c r="K35" s="126">
        <f>'Indexed Revenue'!R7</f>
        <v>2182083.2666345183</v>
      </c>
      <c r="L35" s="126">
        <f>'Indexed Revenue'!S7</f>
        <v>985107.44531820819</v>
      </c>
      <c r="M35" s="141"/>
      <c r="N35" s="132">
        <f t="shared" si="16"/>
        <v>3167190.7119527264</v>
      </c>
    </row>
    <row r="36" spans="2:16" x14ac:dyDescent="0.25">
      <c r="B36" s="48" t="s">
        <v>16</v>
      </c>
      <c r="C36" s="6" t="s">
        <v>32</v>
      </c>
      <c r="D36" s="41">
        <v>1127.6033016645551</v>
      </c>
      <c r="E36" s="38">
        <v>581104.4520676051</v>
      </c>
      <c r="F36" s="37"/>
      <c r="G36" s="51">
        <f>K36/$N36</f>
        <v>0.12619302921610379</v>
      </c>
      <c r="H36" s="52">
        <f t="shared" si="14"/>
        <v>0.87380697078389624</v>
      </c>
      <c r="I36" s="158">
        <f>(K36/12)/D36</f>
        <v>2.0849876171030397</v>
      </c>
      <c r="J36" s="159">
        <f t="shared" si="17"/>
        <v>0.33617622923075358</v>
      </c>
      <c r="K36" s="126">
        <f>'Indexed Revenue'!R8</f>
        <v>28212.467051701213</v>
      </c>
      <c r="L36" s="126">
        <f>'Indexed Revenue'!S8</f>
        <v>195353.50348529065</v>
      </c>
      <c r="M36" s="141"/>
      <c r="N36" s="132">
        <f t="shared" si="16"/>
        <v>223565.97053699187</v>
      </c>
      <c r="O36" s="160" t="s">
        <v>49</v>
      </c>
      <c r="P36" s="160"/>
    </row>
    <row r="37" spans="2:16" ht="15.75" thickBot="1" x14ac:dyDescent="0.3">
      <c r="B37" s="34" t="s">
        <v>42</v>
      </c>
      <c r="C37" s="35"/>
      <c r="D37" s="36">
        <f>SUM(D33:D36)</f>
        <v>13237.91648019624</v>
      </c>
      <c r="E37" s="35"/>
      <c r="F37" s="35"/>
      <c r="G37" s="35"/>
      <c r="H37" s="35"/>
      <c r="I37" s="35"/>
      <c r="J37" s="35"/>
      <c r="K37" s="53">
        <f>SUM(K33:K36)</f>
        <v>15313071.547849081</v>
      </c>
      <c r="L37" s="53">
        <f>SUM(L33:L36)</f>
        <v>12739500.177745536</v>
      </c>
      <c r="M37" s="53">
        <f>SUM(M33:M36)</f>
        <v>-110187.67683102925</v>
      </c>
      <c r="N37" s="54">
        <f>SUM(N33:N36)</f>
        <v>27942384.048763588</v>
      </c>
      <c r="O37" s="160" t="s">
        <v>100</v>
      </c>
      <c r="P37" s="161">
        <f>N37+ABS(M34)</f>
        <v>28052571.725594617</v>
      </c>
    </row>
    <row r="38" spans="2:16" x14ac:dyDescent="0.25">
      <c r="O38" s="160" t="s">
        <v>101</v>
      </c>
      <c r="P38" s="162" t="str">
        <f>IF(P37='Indexed Revenue'!H37,"True","No")</f>
        <v>True</v>
      </c>
    </row>
  </sheetData>
  <mergeCells count="32">
    <mergeCell ref="B30:N30"/>
    <mergeCell ref="B31:B32"/>
    <mergeCell ref="C31:C32"/>
    <mergeCell ref="D31:D32"/>
    <mergeCell ref="E31:F31"/>
    <mergeCell ref="G31:H31"/>
    <mergeCell ref="I31:J31"/>
    <mergeCell ref="K31:N31"/>
    <mergeCell ref="K13:N13"/>
    <mergeCell ref="B13:B14"/>
    <mergeCell ref="C13:C14"/>
    <mergeCell ref="D13:D14"/>
    <mergeCell ref="E13:F13"/>
    <mergeCell ref="G13:H13"/>
    <mergeCell ref="I13:J13"/>
    <mergeCell ref="B12:N12"/>
    <mergeCell ref="K4:N4"/>
    <mergeCell ref="B3:N3"/>
    <mergeCell ref="B4:B5"/>
    <mergeCell ref="C4:C5"/>
    <mergeCell ref="D4:D5"/>
    <mergeCell ref="E4:F4"/>
    <mergeCell ref="G4:H4"/>
    <mergeCell ref="I4:J4"/>
    <mergeCell ref="B21:N21"/>
    <mergeCell ref="B22:B23"/>
    <mergeCell ref="C22:C23"/>
    <mergeCell ref="D22:D23"/>
    <mergeCell ref="E22:F22"/>
    <mergeCell ref="G22:H22"/>
    <mergeCell ref="I22:J22"/>
    <mergeCell ref="K22:N22"/>
  </mergeCells>
  <pageMargins left="0.25" right="0.25" top="0.75" bottom="0.75" header="0.3" footer="0.3"/>
  <pageSetup scale="6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BE060-AD1F-4276-964B-024741D9AAFA}">
  <sheetPr>
    <tabColor theme="9" tint="0.79998168889431442"/>
  </sheetPr>
  <dimension ref="B1:J15"/>
  <sheetViews>
    <sheetView showGridLines="0" workbookViewId="0">
      <selection activeCell="L26" sqref="L26"/>
    </sheetView>
  </sheetViews>
  <sheetFormatPr defaultColWidth="9.140625" defaultRowHeight="15" x14ac:dyDescent="0.25"/>
  <cols>
    <col min="1" max="1" width="2.85546875" customWidth="1"/>
    <col min="2" max="2" width="18.7109375" customWidth="1"/>
    <col min="3" max="3" width="11.7109375" bestFit="1" customWidth="1"/>
    <col min="4" max="4" width="8.7109375" customWidth="1"/>
    <col min="6" max="6" width="18.7109375" customWidth="1"/>
    <col min="7" max="7" width="11.7109375" bestFit="1" customWidth="1"/>
    <col min="8" max="8" width="8.7109375" customWidth="1"/>
    <col min="10" max="10" width="16.5703125" bestFit="1" customWidth="1"/>
    <col min="11" max="11" width="10.7109375" bestFit="1" customWidth="1"/>
    <col min="14" max="14" width="17.85546875" bestFit="1" customWidth="1"/>
    <col min="15" max="15" width="10.28515625" bestFit="1" customWidth="1"/>
    <col min="16" max="16" width="13.140625" customWidth="1"/>
  </cols>
  <sheetData>
    <row r="1" spans="2:10" ht="15.75" thickBot="1" x14ac:dyDescent="0.3"/>
    <row r="2" spans="2:10" ht="30.75" customHeight="1" thickBot="1" x14ac:dyDescent="0.3">
      <c r="B2" s="290" t="s">
        <v>25</v>
      </c>
      <c r="C2" s="291"/>
      <c r="D2" s="292"/>
      <c r="F2" s="290" t="s">
        <v>91</v>
      </c>
      <c r="G2" s="291"/>
      <c r="H2" s="292"/>
    </row>
    <row r="3" spans="2:10" x14ac:dyDescent="0.25">
      <c r="B3" s="22" t="s">
        <v>18</v>
      </c>
      <c r="C3" s="23" t="s">
        <v>19</v>
      </c>
      <c r="D3" s="24" t="s">
        <v>20</v>
      </c>
      <c r="F3" s="22" t="s">
        <v>18</v>
      </c>
      <c r="G3" s="23" t="s">
        <v>19</v>
      </c>
      <c r="H3" s="24" t="s">
        <v>20</v>
      </c>
    </row>
    <row r="4" spans="2:10" x14ac:dyDescent="0.25">
      <c r="B4" s="15" t="s">
        <v>21</v>
      </c>
      <c r="C4" s="129" t="s">
        <v>95</v>
      </c>
      <c r="D4" s="151">
        <v>2.1999999999999999E-2</v>
      </c>
      <c r="F4" s="15" t="s">
        <v>21</v>
      </c>
      <c r="G4" s="129" t="s">
        <v>95</v>
      </c>
      <c r="H4" s="155">
        <v>3.3000000000000002E-2</v>
      </c>
    </row>
    <row r="5" spans="2:10" x14ac:dyDescent="0.25">
      <c r="B5" s="15" t="s">
        <v>22</v>
      </c>
      <c r="C5" s="129" t="s">
        <v>95</v>
      </c>
      <c r="D5" s="151">
        <v>0</v>
      </c>
      <c r="F5" s="15" t="s">
        <v>22</v>
      </c>
      <c r="G5" s="129" t="s">
        <v>95</v>
      </c>
      <c r="H5" s="155">
        <v>0</v>
      </c>
    </row>
    <row r="6" spans="2:10" x14ac:dyDescent="0.25">
      <c r="B6" s="15" t="s">
        <v>23</v>
      </c>
      <c r="C6" s="129" t="s">
        <v>96</v>
      </c>
      <c r="D6" s="152">
        <v>6.0000000000000001E-3</v>
      </c>
      <c r="F6" s="15" t="s">
        <v>23</v>
      </c>
      <c r="G6" s="129" t="s">
        <v>96</v>
      </c>
      <c r="H6" s="156">
        <v>6.0000000000000001E-3</v>
      </c>
    </row>
    <row r="7" spans="2:10" ht="15.75" thickBot="1" x14ac:dyDescent="0.3">
      <c r="B7" s="31" t="s">
        <v>88</v>
      </c>
      <c r="C7" s="119" t="s">
        <v>24</v>
      </c>
      <c r="D7" s="120">
        <f>D4-D5-D6</f>
        <v>1.6E-2</v>
      </c>
      <c r="F7" s="31" t="s">
        <v>88</v>
      </c>
      <c r="G7" s="119" t="s">
        <v>24</v>
      </c>
      <c r="H7" s="157">
        <f>H4-H5-H6</f>
        <v>2.7000000000000003E-2</v>
      </c>
    </row>
    <row r="9" spans="2:10" ht="15.75" thickBot="1" x14ac:dyDescent="0.3">
      <c r="J9" s="57"/>
    </row>
    <row r="10" spans="2:10" ht="16.5" thickBot="1" x14ac:dyDescent="0.3">
      <c r="B10" s="290" t="s">
        <v>103</v>
      </c>
      <c r="C10" s="291"/>
      <c r="D10" s="292"/>
      <c r="F10" s="290" t="s">
        <v>118</v>
      </c>
      <c r="G10" s="291"/>
      <c r="H10" s="292"/>
    </row>
    <row r="11" spans="2:10" x14ac:dyDescent="0.25">
      <c r="B11" s="22" t="s">
        <v>18</v>
      </c>
      <c r="C11" s="23" t="s">
        <v>19</v>
      </c>
      <c r="D11" s="24" t="s">
        <v>20</v>
      </c>
      <c r="F11" s="22" t="s">
        <v>18</v>
      </c>
      <c r="G11" s="23" t="s">
        <v>19</v>
      </c>
      <c r="H11" s="24" t="s">
        <v>20</v>
      </c>
    </row>
    <row r="12" spans="2:10" x14ac:dyDescent="0.25">
      <c r="B12" s="15" t="s">
        <v>21</v>
      </c>
      <c r="C12" s="33" t="s">
        <v>95</v>
      </c>
      <c r="D12" s="26">
        <v>3.6999999999999998E-2</v>
      </c>
      <c r="F12" s="15" t="s">
        <v>21</v>
      </c>
      <c r="G12" s="33" t="s">
        <v>95</v>
      </c>
      <c r="H12" s="26">
        <v>4.8000000000000001E-2</v>
      </c>
    </row>
    <row r="13" spans="2:10" x14ac:dyDescent="0.25">
      <c r="B13" s="15" t="s">
        <v>22</v>
      </c>
      <c r="C13" s="33" t="s">
        <v>95</v>
      </c>
      <c r="D13" s="26">
        <v>0</v>
      </c>
      <c r="F13" s="15" t="s">
        <v>22</v>
      </c>
      <c r="G13" s="33" t="s">
        <v>95</v>
      </c>
      <c r="H13" s="26">
        <v>0</v>
      </c>
    </row>
    <row r="14" spans="2:10" x14ac:dyDescent="0.25">
      <c r="B14" s="15" t="s">
        <v>23</v>
      </c>
      <c r="C14" s="33" t="s">
        <v>112</v>
      </c>
      <c r="D14" s="27">
        <v>6.0000000000000001E-3</v>
      </c>
      <c r="F14" s="15" t="s">
        <v>23</v>
      </c>
      <c r="G14" s="33" t="s">
        <v>112</v>
      </c>
      <c r="H14" s="27">
        <v>6.0000000000000001E-3</v>
      </c>
    </row>
    <row r="15" spans="2:10" ht="15.75" thickBot="1" x14ac:dyDescent="0.3">
      <c r="B15" s="31" t="s">
        <v>88</v>
      </c>
      <c r="C15" s="19" t="s">
        <v>24</v>
      </c>
      <c r="D15" s="25">
        <f>D12-D13-D14</f>
        <v>3.1E-2</v>
      </c>
      <c r="F15" s="31" t="s">
        <v>88</v>
      </c>
      <c r="G15" s="19" t="s">
        <v>24</v>
      </c>
      <c r="H15" s="25">
        <f>H12-H13-H14</f>
        <v>4.2000000000000003E-2</v>
      </c>
    </row>
  </sheetData>
  <mergeCells count="4">
    <mergeCell ref="B2:D2"/>
    <mergeCell ref="F2:H2"/>
    <mergeCell ref="B10:D10"/>
    <mergeCell ref="F10:H10"/>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A11CC-CA96-4E43-81B5-813207B4E22B}">
  <sheetPr>
    <tabColor theme="9" tint="0.79998168889431442"/>
    <pageSetUpPr fitToPage="1"/>
  </sheetPr>
  <dimension ref="B1:T39"/>
  <sheetViews>
    <sheetView showGridLines="0" topLeftCell="A11" workbookViewId="0">
      <selection activeCell="T5" sqref="T5:T6"/>
    </sheetView>
  </sheetViews>
  <sheetFormatPr defaultColWidth="9.140625" defaultRowHeight="15" x14ac:dyDescent="0.25"/>
  <cols>
    <col min="1" max="1" width="2.85546875" customWidth="1"/>
    <col min="2" max="2" width="24.85546875" customWidth="1"/>
    <col min="3" max="5" width="12.85546875" customWidth="1"/>
    <col min="6" max="6" width="10.140625" customWidth="1"/>
    <col min="7" max="7" width="24.85546875" customWidth="1"/>
    <col min="8" max="10" width="12.85546875" customWidth="1"/>
    <col min="12" max="12" width="24.28515625" customWidth="1"/>
    <col min="13" max="15" width="12.42578125" customWidth="1"/>
    <col min="17" max="17" width="24.28515625" customWidth="1"/>
    <col min="18" max="20" width="12.42578125" customWidth="1"/>
  </cols>
  <sheetData>
    <row r="1" spans="2:20" ht="15.75" thickBot="1" x14ac:dyDescent="0.3"/>
    <row r="2" spans="2:20" ht="33.75" customHeight="1" x14ac:dyDescent="0.25">
      <c r="B2" s="223" t="s">
        <v>53</v>
      </c>
      <c r="C2" s="224"/>
      <c r="D2" s="224"/>
      <c r="E2" s="225"/>
      <c r="G2" s="223" t="s">
        <v>90</v>
      </c>
      <c r="H2" s="224"/>
      <c r="I2" s="224"/>
      <c r="J2" s="225"/>
      <c r="L2" s="223" t="s">
        <v>127</v>
      </c>
      <c r="M2" s="224"/>
      <c r="N2" s="224"/>
      <c r="O2" s="225"/>
      <c r="Q2" s="223" t="s">
        <v>128</v>
      </c>
      <c r="R2" s="224"/>
      <c r="S2" s="224"/>
      <c r="T2" s="225"/>
    </row>
    <row r="3" spans="2:20" ht="15" customHeight="1" x14ac:dyDescent="0.25">
      <c r="B3" s="257" t="s">
        <v>26</v>
      </c>
      <c r="C3" s="263" t="s">
        <v>31</v>
      </c>
      <c r="D3" s="255"/>
      <c r="E3" s="256"/>
      <c r="G3" s="257" t="s">
        <v>26</v>
      </c>
      <c r="H3" s="263" t="s">
        <v>31</v>
      </c>
      <c r="I3" s="255"/>
      <c r="J3" s="256"/>
      <c r="L3" s="257" t="s">
        <v>26</v>
      </c>
      <c r="M3" s="263" t="s">
        <v>31</v>
      </c>
      <c r="N3" s="255"/>
      <c r="O3" s="256"/>
      <c r="Q3" s="257" t="s">
        <v>26</v>
      </c>
      <c r="R3" s="263" t="s">
        <v>31</v>
      </c>
      <c r="S3" s="255"/>
      <c r="T3" s="256"/>
    </row>
    <row r="4" spans="2:20" ht="14.85" customHeight="1" x14ac:dyDescent="0.25">
      <c r="B4" s="258"/>
      <c r="C4" s="46" t="s">
        <v>37</v>
      </c>
      <c r="D4" s="46" t="s">
        <v>38</v>
      </c>
      <c r="E4" s="47" t="s">
        <v>39</v>
      </c>
      <c r="G4" s="258"/>
      <c r="H4" s="46" t="s">
        <v>37</v>
      </c>
      <c r="I4" s="46" t="s">
        <v>38</v>
      </c>
      <c r="J4" s="47" t="s">
        <v>39</v>
      </c>
      <c r="L4" s="258"/>
      <c r="M4" s="46" t="s">
        <v>37</v>
      </c>
      <c r="N4" s="46" t="s">
        <v>38</v>
      </c>
      <c r="O4" s="47" t="s">
        <v>39</v>
      </c>
      <c r="Q4" s="258"/>
      <c r="R4" s="46" t="s">
        <v>37</v>
      </c>
      <c r="S4" s="46" t="s">
        <v>38</v>
      </c>
      <c r="T4" s="47" t="s">
        <v>39</v>
      </c>
    </row>
    <row r="5" spans="2:20" x14ac:dyDescent="0.25">
      <c r="B5" s="48" t="s">
        <v>40</v>
      </c>
      <c r="C5" s="126">
        <f>'2020 COS Eq Rates and Revenue'!K7*(1+'IRM Adjustment Factor'!$D$7)</f>
        <v>11310367.607327543</v>
      </c>
      <c r="D5" s="126">
        <f>SUM('2020 COS Eq Rates and Revenue'!L7:M7)*(1+'IRM Adjustment Factor'!$D$7)</f>
        <v>6333275.2664187551</v>
      </c>
      <c r="E5" s="132">
        <f>C5+D5</f>
        <v>17643642.873746298</v>
      </c>
      <c r="G5" s="48" t="s">
        <v>40</v>
      </c>
      <c r="H5" s="121">
        <f>C5*(1+'IRM Adjustment Factor'!$H$7)</f>
        <v>11615747.532725386</v>
      </c>
      <c r="I5" s="121">
        <f>D5*(1+'IRM Adjustment Factor'!$H$7)</f>
        <v>6504273.6986120613</v>
      </c>
      <c r="J5" s="30">
        <f>H5+I5</f>
        <v>18120021.231337447</v>
      </c>
      <c r="L5" s="48" t="s">
        <v>40</v>
      </c>
      <c r="M5" s="121">
        <f>H5*(1+'IRM Adjustment Factor'!$D$15)</f>
        <v>11975835.706239872</v>
      </c>
      <c r="N5" s="121">
        <f>I5*(1+'IRM Adjustment Factor'!$D$15)</f>
        <v>6705906.1832690351</v>
      </c>
      <c r="O5" s="30">
        <f>M5+N5</f>
        <v>18681741.889508907</v>
      </c>
      <c r="Q5" s="48" t="s">
        <v>40</v>
      </c>
      <c r="R5" s="121">
        <f>M5*(1+'IRM Adjustment Factor'!$H$15)</f>
        <v>12478820.805901946</v>
      </c>
      <c r="S5" s="121">
        <f>N5*(1+'IRM Adjustment Factor'!$H$15)</f>
        <v>6987554.2429663343</v>
      </c>
      <c r="T5" s="30">
        <f>R5+S5</f>
        <v>19466375.04886828</v>
      </c>
    </row>
    <row r="6" spans="2:20" x14ac:dyDescent="0.25">
      <c r="B6" s="48" t="s">
        <v>13</v>
      </c>
      <c r="C6" s="126">
        <f>'2020 COS Eq Rates and Revenue'!K8*(1+'IRM Adjustment Factor'!$D$7)</f>
        <v>565531.04044304544</v>
      </c>
      <c r="D6" s="126">
        <f>SUM('2020 COS Eq Rates and Revenue'!L8:M8)*(1+'IRM Adjustment Factor'!$D$7)</f>
        <v>4143434.4243736118</v>
      </c>
      <c r="E6" s="132">
        <f t="shared" ref="E6:E8" si="0">C6+D6</f>
        <v>4708965.4648166569</v>
      </c>
      <c r="G6" s="48" t="s">
        <v>13</v>
      </c>
      <c r="H6" s="121">
        <f>C6*(1+'IRM Adjustment Factor'!$H$7)</f>
        <v>580800.37853500759</v>
      </c>
      <c r="I6" s="121">
        <f>D6*(1+'IRM Adjustment Factor'!$H$7)</f>
        <v>4255307.1538316989</v>
      </c>
      <c r="J6" s="30">
        <f t="shared" ref="J6:J8" si="1">H6+I6</f>
        <v>4836107.5323667061</v>
      </c>
      <c r="L6" s="48" t="s">
        <v>13</v>
      </c>
      <c r="M6" s="121">
        <f>H6*(1+'IRM Adjustment Factor'!$D$15)</f>
        <v>598805.1902695928</v>
      </c>
      <c r="N6" s="121">
        <f>I6*(1+'IRM Adjustment Factor'!$D$15)</f>
        <v>4387221.6756004812</v>
      </c>
      <c r="O6" s="30">
        <f t="shared" ref="O6:O8" si="2">M6+N6</f>
        <v>4986026.8658700744</v>
      </c>
      <c r="Q6" s="48" t="s">
        <v>13</v>
      </c>
      <c r="R6" s="121">
        <f>M6*(1+'IRM Adjustment Factor'!$H$15)</f>
        <v>623955.00826091575</v>
      </c>
      <c r="S6" s="121">
        <f>N6*(1+'IRM Adjustment Factor'!$H$15)</f>
        <v>4571484.9859757014</v>
      </c>
      <c r="T6" s="30">
        <f t="shared" ref="T6:T8" si="3">R6+S6</f>
        <v>5195439.9942366173</v>
      </c>
    </row>
    <row r="7" spans="2:20" x14ac:dyDescent="0.25">
      <c r="B7" s="48" t="s">
        <v>15</v>
      </c>
      <c r="C7" s="126">
        <f>'2020 COS Eq Rates and Revenue'!K9*(1+'IRM Adjustment Factor'!$D$7)</f>
        <v>1977764.1076280116</v>
      </c>
      <c r="D7" s="126">
        <f>SUM('2020 COS Eq Rates and Revenue'!L9:M9)*(1+'IRM Adjustment Factor'!$D$7)</f>
        <v>892867.0034266857</v>
      </c>
      <c r="E7" s="132">
        <f t="shared" si="0"/>
        <v>2870631.1110546971</v>
      </c>
      <c r="G7" s="48" t="s">
        <v>15</v>
      </c>
      <c r="H7" s="121">
        <f>C7*(1+'IRM Adjustment Factor'!$H$7)</f>
        <v>2031163.7385339676</v>
      </c>
      <c r="I7" s="121">
        <f>D7*(1+'IRM Adjustment Factor'!$H$7)</f>
        <v>916974.41251920618</v>
      </c>
      <c r="J7" s="30">
        <f t="shared" si="1"/>
        <v>2948138.1510531739</v>
      </c>
      <c r="L7" s="48" t="s">
        <v>15</v>
      </c>
      <c r="M7" s="121">
        <f>H7*(1+'IRM Adjustment Factor'!$D$15)</f>
        <v>2094129.8144285204</v>
      </c>
      <c r="N7" s="121">
        <f>I7*(1+'IRM Adjustment Factor'!$D$15)</f>
        <v>945400.61930730147</v>
      </c>
      <c r="O7" s="30">
        <f t="shared" si="2"/>
        <v>3039530.4337358219</v>
      </c>
      <c r="Q7" s="48" t="s">
        <v>15</v>
      </c>
      <c r="R7" s="121">
        <f>M7*(1+'IRM Adjustment Factor'!$H$15)</f>
        <v>2182083.2666345183</v>
      </c>
      <c r="S7" s="121">
        <f>N7*(1+'IRM Adjustment Factor'!$H$15)</f>
        <v>985107.44531820819</v>
      </c>
      <c r="T7" s="30">
        <f t="shared" si="3"/>
        <v>3167190.7119527264</v>
      </c>
    </row>
    <row r="8" spans="2:20" x14ac:dyDescent="0.25">
      <c r="B8" s="48" t="s">
        <v>16</v>
      </c>
      <c r="C8" s="126">
        <f>'2020 COS Eq Rates and Revenue'!K10*(1+'IRM Adjustment Factor'!$D$7)</f>
        <v>25570.79538424332</v>
      </c>
      <c r="D8" s="126">
        <f>SUM('2020 COS Eq Rates and Revenue'!L10:M10)*(1+'IRM Adjustment Factor'!$D$7)</f>
        <v>177061.59677787597</v>
      </c>
      <c r="E8" s="132">
        <f t="shared" si="0"/>
        <v>202632.39216211927</v>
      </c>
      <c r="G8" s="48" t="s">
        <v>16</v>
      </c>
      <c r="H8" s="121">
        <f>C8*(1+'IRM Adjustment Factor'!$H$7)</f>
        <v>26261.206859617887</v>
      </c>
      <c r="I8" s="121">
        <f>D8*(1+'IRM Adjustment Factor'!$H$7)</f>
        <v>181842.2598908786</v>
      </c>
      <c r="J8" s="30">
        <f t="shared" si="1"/>
        <v>208103.46675049647</v>
      </c>
      <c r="L8" s="48" t="s">
        <v>16</v>
      </c>
      <c r="M8" s="121">
        <f>H8*(1+'IRM Adjustment Factor'!$D$15)</f>
        <v>27075.304272266039</v>
      </c>
      <c r="N8" s="121">
        <f>I8*(1+'IRM Adjustment Factor'!$D$15)</f>
        <v>187479.36994749581</v>
      </c>
      <c r="O8" s="30">
        <f t="shared" si="2"/>
        <v>214554.67421976186</v>
      </c>
      <c r="Q8" s="48" t="s">
        <v>16</v>
      </c>
      <c r="R8" s="121">
        <f>M8*(1+'IRM Adjustment Factor'!$H$15)</f>
        <v>28212.467051701213</v>
      </c>
      <c r="S8" s="121">
        <f>N8*(1+'IRM Adjustment Factor'!$H$15)</f>
        <v>195353.50348529065</v>
      </c>
      <c r="T8" s="30">
        <f t="shared" si="3"/>
        <v>223565.97053699187</v>
      </c>
    </row>
    <row r="9" spans="2:20" ht="15.75" thickBot="1" x14ac:dyDescent="0.3">
      <c r="B9" s="34" t="s">
        <v>42</v>
      </c>
      <c r="C9" s="49">
        <f>SUM(C5:C8)</f>
        <v>13879233.550782844</v>
      </c>
      <c r="D9" s="49">
        <f>SUM(D5:D8)</f>
        <v>11546638.29099693</v>
      </c>
      <c r="E9" s="50">
        <f>SUM(E5:E8)</f>
        <v>25425871.841779768</v>
      </c>
      <c r="G9" s="34" t="s">
        <v>42</v>
      </c>
      <c r="H9" s="122">
        <f>SUM(H5:H8)</f>
        <v>14253972.856653981</v>
      </c>
      <c r="I9" s="122">
        <f>SUM(I5:I8)</f>
        <v>11858397.524853844</v>
      </c>
      <c r="J9" s="123">
        <f>SUM(J5:J8)</f>
        <v>26112370.381507821</v>
      </c>
      <c r="L9" s="34" t="s">
        <v>42</v>
      </c>
      <c r="M9" s="122">
        <f>SUM(M5:M8)</f>
        <v>14695846.01521025</v>
      </c>
      <c r="N9" s="122">
        <f>SUM(N5:N8)</f>
        <v>12226007.848124312</v>
      </c>
      <c r="O9" s="123">
        <f>SUM(O5:O8)</f>
        <v>26921853.863334563</v>
      </c>
      <c r="Q9" s="34" t="s">
        <v>42</v>
      </c>
      <c r="R9" s="122">
        <f>SUM(R5:R8)</f>
        <v>15313071.547849081</v>
      </c>
      <c r="S9" s="122">
        <f>SUM(S5:S8)</f>
        <v>12739500.177745536</v>
      </c>
      <c r="T9" s="123">
        <f>SUM(T5:T8)</f>
        <v>28052571.725594617</v>
      </c>
    </row>
    <row r="10" spans="2:20" x14ac:dyDescent="0.25">
      <c r="C10" s="55"/>
      <c r="D10" s="55"/>
      <c r="E10" s="55"/>
      <c r="J10" s="185">
        <f>J9/E9</f>
        <v>1.0269999999999999</v>
      </c>
      <c r="O10" s="185">
        <f>O9/J9</f>
        <v>1.0309999999999999</v>
      </c>
      <c r="T10" s="185">
        <f>T9/O9</f>
        <v>1.042</v>
      </c>
    </row>
    <row r="11" spans="2:20" x14ac:dyDescent="0.25">
      <c r="H11" s="294"/>
      <c r="I11" s="294"/>
      <c r="J11" s="5"/>
    </row>
    <row r="12" spans="2:20" ht="33.75" customHeight="1" x14ac:dyDescent="0.25">
      <c r="B12" s="293" t="s">
        <v>98</v>
      </c>
      <c r="C12" s="293"/>
      <c r="D12" s="293"/>
      <c r="E12" s="293"/>
      <c r="F12" s="293"/>
      <c r="G12" s="293"/>
      <c r="H12" s="293"/>
      <c r="I12" s="293"/>
      <c r="J12" s="293"/>
    </row>
    <row r="14" spans="2:20" x14ac:dyDescent="0.25">
      <c r="B14" s="56" t="s">
        <v>49</v>
      </c>
    </row>
    <row r="16" spans="2:20" x14ac:dyDescent="0.25">
      <c r="B16" t="s">
        <v>50</v>
      </c>
      <c r="G16" s="58">
        <f>'2020 COS Eq Rates and Revenue'!N11</f>
        <v>25025464.411200564</v>
      </c>
    </row>
    <row r="17" spans="2:8" x14ac:dyDescent="0.25">
      <c r="B17" t="s">
        <v>52</v>
      </c>
      <c r="G17" s="59">
        <f>'IRM Adjustment Factor'!D7</f>
        <v>1.6E-2</v>
      </c>
    </row>
    <row r="18" spans="2:8" x14ac:dyDescent="0.25">
      <c r="B18" t="s">
        <v>51</v>
      </c>
      <c r="G18" s="58">
        <f>G16*(1+G17)</f>
        <v>25425871.841779772</v>
      </c>
    </row>
    <row r="20" spans="2:8" x14ac:dyDescent="0.25">
      <c r="B20" s="57" t="str">
        <f>IF(E9=G18,"Total of Indexed Class Revenue Equals Indexed Total Revenue","Total of Indexed Class Revenue DOES NOT EQUAL Indexed Total Revenue")</f>
        <v>Total of Indexed Class Revenue Equals Indexed Total Revenue</v>
      </c>
    </row>
    <row r="21" spans="2:8" ht="18" customHeight="1" x14ac:dyDescent="0.25"/>
    <row r="22" spans="2:8" x14ac:dyDescent="0.25">
      <c r="B22" t="s">
        <v>92</v>
      </c>
      <c r="H22" s="58">
        <f>E9</f>
        <v>25425871.841779768</v>
      </c>
    </row>
    <row r="23" spans="2:8" x14ac:dyDescent="0.25">
      <c r="B23" t="s">
        <v>93</v>
      </c>
      <c r="H23" s="59">
        <f>'IRM Adjustment Factor'!H7</f>
        <v>2.7000000000000003E-2</v>
      </c>
    </row>
    <row r="24" spans="2:8" x14ac:dyDescent="0.25">
      <c r="B24" t="s">
        <v>94</v>
      </c>
      <c r="H24" s="58">
        <f>H22*(1+H23)</f>
        <v>26112370.381507821</v>
      </c>
    </row>
    <row r="26" spans="2:8" x14ac:dyDescent="0.25">
      <c r="B26" s="57" t="str">
        <f>IF(J9=H24,"Total of Indexed Class Revenue Equals Indexed Total Revenue","Total of Indexed Class Revenue DOES NOT EQUAL Indexed Total Revenue")</f>
        <v>Total of Indexed Class Revenue Equals Indexed Total Revenue</v>
      </c>
    </row>
    <row r="29" spans="2:8" x14ac:dyDescent="0.25">
      <c r="B29" t="s">
        <v>107</v>
      </c>
      <c r="H29" s="58">
        <f>J9</f>
        <v>26112370.381507821</v>
      </c>
    </row>
    <row r="30" spans="2:8" x14ac:dyDescent="0.25">
      <c r="B30" t="s">
        <v>108</v>
      </c>
      <c r="H30" s="59">
        <f>'IRM Adjustment Factor'!D15</f>
        <v>3.1E-2</v>
      </c>
    </row>
    <row r="31" spans="2:8" x14ac:dyDescent="0.25">
      <c r="B31" t="s">
        <v>109</v>
      </c>
      <c r="H31" s="58">
        <f>H29*(1+H30)</f>
        <v>26921853.863334563</v>
      </c>
    </row>
    <row r="33" spans="2:8" x14ac:dyDescent="0.25">
      <c r="B33" s="57" t="str">
        <f>IF(O9=H31,"Total of Indexed Class Revenue Equals Indexed Total Revenue","Total of Indexed Class Revenue DOES NOT EQUAL Indexed Total Revenue")</f>
        <v>Total of Indexed Class Revenue Equals Indexed Total Revenue</v>
      </c>
    </row>
    <row r="35" spans="2:8" x14ac:dyDescent="0.25">
      <c r="B35" t="s">
        <v>107</v>
      </c>
      <c r="H35" s="58">
        <f>O9</f>
        <v>26921853.863334563</v>
      </c>
    </row>
    <row r="36" spans="2:8" x14ac:dyDescent="0.25">
      <c r="B36" t="s">
        <v>108</v>
      </c>
      <c r="H36" s="59">
        <f>'IRM Adjustment Factor'!H15</f>
        <v>4.2000000000000003E-2</v>
      </c>
    </row>
    <row r="37" spans="2:8" x14ac:dyDescent="0.25">
      <c r="B37" t="s">
        <v>109</v>
      </c>
      <c r="H37" s="58">
        <f>H35*(1+H36)</f>
        <v>28052571.725594614</v>
      </c>
    </row>
    <row r="39" spans="2:8" x14ac:dyDescent="0.25">
      <c r="B39" s="57" t="str">
        <f>IF(H37=T9,"Total of Indexed Class Revenue Equals Indexed Total Revenue","Total of Indexed Class Revenue DOES NOT EQUAL Indexed Total Revenue")</f>
        <v>Total of Indexed Class Revenue Equals Indexed Total Revenue</v>
      </c>
    </row>
  </sheetData>
  <mergeCells count="14">
    <mergeCell ref="Q2:T2"/>
    <mergeCell ref="Q3:Q4"/>
    <mergeCell ref="R3:T3"/>
    <mergeCell ref="L2:O2"/>
    <mergeCell ref="L3:L4"/>
    <mergeCell ref="M3:O3"/>
    <mergeCell ref="B12:J12"/>
    <mergeCell ref="B2:E2"/>
    <mergeCell ref="B3:B4"/>
    <mergeCell ref="C3:E3"/>
    <mergeCell ref="G2:J2"/>
    <mergeCell ref="G3:G4"/>
    <mergeCell ref="H3:J3"/>
    <mergeCell ref="H11:I11"/>
  </mergeCells>
  <pageMargins left="0.25" right="0.25" top="0.75" bottom="0.75" header="0.3" footer="0.3"/>
  <pageSetup scale="4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D64E9-2019-4699-98F5-96F159A60E67}">
  <sheetPr>
    <tabColor theme="9" tint="0.79998168889431442"/>
    <pageSetUpPr fitToPage="1"/>
  </sheetPr>
  <dimension ref="B2:M12"/>
  <sheetViews>
    <sheetView showGridLines="0" workbookViewId="0">
      <selection activeCell="B4" sqref="B4:L8"/>
    </sheetView>
  </sheetViews>
  <sheetFormatPr defaultColWidth="9.140625" defaultRowHeight="15" x14ac:dyDescent="0.25"/>
  <cols>
    <col min="1" max="1" width="2.85546875" customWidth="1"/>
    <col min="2" max="2" width="30.85546875" bestFit="1" customWidth="1"/>
    <col min="3" max="3" width="7.140625" customWidth="1"/>
    <col min="4" max="4" width="10.140625" customWidth="1"/>
    <col min="5" max="5" width="12.140625" customWidth="1"/>
    <col min="6" max="6" width="10.7109375" customWidth="1"/>
    <col min="7" max="7" width="14" bestFit="1" customWidth="1"/>
    <col min="8" max="9" width="12.85546875" customWidth="1"/>
    <col min="10" max="12" width="10.7109375" customWidth="1"/>
    <col min="13" max="13" width="10.7109375" bestFit="1" customWidth="1"/>
  </cols>
  <sheetData>
    <row r="2" spans="2:13" ht="15.75" x14ac:dyDescent="0.25">
      <c r="B2" s="232" t="s">
        <v>65</v>
      </c>
      <c r="C2" s="232"/>
      <c r="D2" s="232"/>
      <c r="E2" s="232"/>
      <c r="F2" s="232"/>
      <c r="G2" s="232"/>
      <c r="H2" s="232"/>
      <c r="I2" s="232"/>
      <c r="J2" s="232"/>
      <c r="K2" s="232"/>
      <c r="L2" s="232"/>
      <c r="M2" s="62"/>
    </row>
    <row r="3" spans="2:13" ht="15.75" thickBot="1" x14ac:dyDescent="0.3"/>
    <row r="4" spans="2:13" x14ac:dyDescent="0.25">
      <c r="B4" s="295" t="s">
        <v>129</v>
      </c>
      <c r="C4" s="296"/>
      <c r="D4" s="296"/>
      <c r="E4" s="296"/>
      <c r="F4" s="296"/>
      <c r="G4" s="296"/>
      <c r="H4" s="296"/>
      <c r="I4" s="296"/>
      <c r="J4" s="296"/>
      <c r="K4" s="296"/>
      <c r="L4" s="297"/>
      <c r="M4" s="67"/>
    </row>
    <row r="5" spans="2:13" x14ac:dyDescent="0.25">
      <c r="B5" s="298" t="s">
        <v>26</v>
      </c>
      <c r="C5" s="299" t="s">
        <v>6</v>
      </c>
      <c r="D5" s="300" t="s">
        <v>27</v>
      </c>
      <c r="E5" s="301" t="s">
        <v>32</v>
      </c>
      <c r="F5" s="263" t="s">
        <v>130</v>
      </c>
      <c r="G5" s="264"/>
      <c r="H5" s="263" t="s">
        <v>131</v>
      </c>
      <c r="I5" s="264"/>
      <c r="J5" s="263" t="s">
        <v>132</v>
      </c>
      <c r="K5" s="255"/>
      <c r="L5" s="256"/>
      <c r="M5" s="67"/>
    </row>
    <row r="6" spans="2:13" ht="45" x14ac:dyDescent="0.25">
      <c r="B6" s="298"/>
      <c r="C6" s="299"/>
      <c r="D6" s="300"/>
      <c r="E6" s="302"/>
      <c r="F6" s="46" t="s">
        <v>8</v>
      </c>
      <c r="G6" s="46" t="s">
        <v>36</v>
      </c>
      <c r="H6" s="46" t="s">
        <v>8</v>
      </c>
      <c r="I6" s="46" t="s">
        <v>36</v>
      </c>
      <c r="J6" s="46" t="s">
        <v>37</v>
      </c>
      <c r="K6" s="46" t="s">
        <v>38</v>
      </c>
      <c r="L6" s="47" t="s">
        <v>39</v>
      </c>
    </row>
    <row r="7" spans="2:13" x14ac:dyDescent="0.25">
      <c r="B7" s="48" t="s">
        <v>142</v>
      </c>
      <c r="C7" s="129" t="s">
        <v>32</v>
      </c>
      <c r="D7" s="68">
        <f>'2020 COS Eq Rates and Revenue'!D9</f>
        <v>2960.1858518389645</v>
      </c>
      <c r="E7" s="68">
        <f>'2020 COS Eq Rates and Revenue'!E9</f>
        <v>5874372.3645382812</v>
      </c>
      <c r="F7" s="149">
        <f>'Rate Summary'!F21</f>
        <v>75.61</v>
      </c>
      <c r="G7" s="150">
        <f>'Rate Summary'!F22</f>
        <v>6.0100000000000001E-2</v>
      </c>
      <c r="H7" s="163">
        <f>ROUND(F7*(1+'IRM Adjustment Factor'!H15),2)</f>
        <v>78.790000000000006</v>
      </c>
      <c r="I7" s="164">
        <f>ROUND(G7*(1+'IRM Adjustment Factor'!H15),4)</f>
        <v>6.2600000000000003E-2</v>
      </c>
      <c r="J7" s="147">
        <f>D7*H7*12</f>
        <v>2798796.519196704</v>
      </c>
      <c r="K7" s="147">
        <f>E7*I7</f>
        <v>367735.71002009645</v>
      </c>
      <c r="L7" s="148">
        <f>SUM(J7:K7)</f>
        <v>3166532.2292168005</v>
      </c>
    </row>
    <row r="8" spans="2:13" ht="15.75" thickBot="1" x14ac:dyDescent="0.3">
      <c r="B8" s="172" t="s">
        <v>16</v>
      </c>
      <c r="C8" s="119" t="s">
        <v>32</v>
      </c>
      <c r="D8" s="173">
        <f>'2020 COS Eq Rates and Revenue'!D10</f>
        <v>1127.6033016645551</v>
      </c>
      <c r="E8" s="173">
        <f>'2020 COS Eq Rates and Revenue'!E10</f>
        <v>581104.4520676051</v>
      </c>
      <c r="F8" s="174">
        <f>'Rate Summary'!F25</f>
        <v>2</v>
      </c>
      <c r="G8" s="175">
        <f>'Rate Summary'!F26</f>
        <v>0.3226</v>
      </c>
      <c r="H8" s="176">
        <f>ROUND(F8*(1+'IRM Adjustment Factor'!H15),2)</f>
        <v>2.08</v>
      </c>
      <c r="I8" s="177">
        <f>ROUND(G8*(1+'IRM Adjustment Factor'!H15),4)</f>
        <v>0.33610000000000001</v>
      </c>
      <c r="J8" s="178">
        <f>D8*H8*12</f>
        <v>28144.978409547297</v>
      </c>
      <c r="K8" s="178">
        <f>E8*I8</f>
        <v>195309.20633992209</v>
      </c>
      <c r="L8" s="179">
        <f>SUM(J8:K8)</f>
        <v>223454.18474946939</v>
      </c>
    </row>
    <row r="9" spans="2:13" ht="15.75" hidden="1" thickBot="1" x14ac:dyDescent="0.3">
      <c r="B9" s="166" t="s">
        <v>42</v>
      </c>
      <c r="C9" s="167"/>
      <c r="D9" s="168">
        <f>SUM(D7:D8)</f>
        <v>4087.7891535035196</v>
      </c>
      <c r="E9" s="168">
        <f>SUM(E7:E8)</f>
        <v>6455476.8166058864</v>
      </c>
      <c r="F9" s="169"/>
      <c r="G9" s="169"/>
      <c r="H9" s="169"/>
      <c r="I9" s="169"/>
      <c r="J9" s="170">
        <f>J7+J8</f>
        <v>2826941.4976062514</v>
      </c>
      <c r="K9" s="170">
        <f>K7+K8</f>
        <v>563044.91636001854</v>
      </c>
      <c r="L9" s="171">
        <f>L7+L8</f>
        <v>3389986.4139662702</v>
      </c>
    </row>
    <row r="10" spans="2:13" x14ac:dyDescent="0.25">
      <c r="G10" s="187" t="s">
        <v>133</v>
      </c>
      <c r="H10" s="187"/>
      <c r="I10" s="187"/>
    </row>
    <row r="11" spans="2:13" x14ac:dyDescent="0.25">
      <c r="G11" s="187" t="s">
        <v>15</v>
      </c>
      <c r="H11" s="188">
        <f>H7/F7</f>
        <v>1.0420579288453908</v>
      </c>
      <c r="I11" s="188">
        <f>I7/G7</f>
        <v>1.0415973377703827</v>
      </c>
    </row>
    <row r="12" spans="2:13" x14ac:dyDescent="0.25">
      <c r="G12" s="187" t="s">
        <v>16</v>
      </c>
      <c r="H12" s="188">
        <f>H8/F8</f>
        <v>1.04</v>
      </c>
      <c r="I12" s="188">
        <f>I8/G8</f>
        <v>1.0418474891506511</v>
      </c>
    </row>
  </sheetData>
  <mergeCells count="9">
    <mergeCell ref="B2:L2"/>
    <mergeCell ref="B4:L4"/>
    <mergeCell ref="B5:B6"/>
    <mergeCell ref="C5:C6"/>
    <mergeCell ref="D5:D6"/>
    <mergeCell ref="E5:E6"/>
    <mergeCell ref="F5:G5"/>
    <mergeCell ref="J5:L5"/>
    <mergeCell ref="H5:I5"/>
  </mergeCells>
  <pageMargins left="0.7" right="0.7" top="0.75" bottom="0.75" header="0.3" footer="0.3"/>
  <pageSetup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Rate Summary</vt:lpstr>
      <vt:lpstr>2020 COS Cost Allocation</vt:lpstr>
      <vt:lpstr>2020 COS Eq Rates and Revenue</vt:lpstr>
      <vt:lpstr>RRRP Rate Design</vt:lpstr>
      <vt:lpstr>Equiv Rates for ACM Model</vt:lpstr>
      <vt:lpstr>IRM Adjustment Factor</vt:lpstr>
      <vt:lpstr>Indexed Revenue</vt:lpstr>
      <vt:lpstr>Non-RRRP Rate Design</vt:lpstr>
      <vt:lpstr>Seasonal Decoupling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Beharriell, Greg</dc:creator>
  <cp:lastModifiedBy>Birgit Armstrong</cp:lastModifiedBy>
  <cp:lastPrinted>2023-08-15T19:51:25Z</cp:lastPrinted>
  <dcterms:created xsi:type="dcterms:W3CDTF">2020-05-21T17:58:27Z</dcterms:created>
  <dcterms:modified xsi:type="dcterms:W3CDTF">2023-12-07T15:41:17Z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14.8</vt:lpwstr>
  </property>
</Properties>
</file>