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I 2024 IRM\Decision and Rate Order\Draft Rate Order\"/>
    </mc:Choice>
  </mc:AlternateContent>
  <xr:revisionPtr revIDLastSave="0" documentId="13_ncr:1_{533E272B-531D-4445-882D-EF04A8878C69}" xr6:coauthVersionLast="47" xr6:coauthVersionMax="47" xr10:uidLastSave="{00000000-0000-0000-0000-000000000000}"/>
  <bookViews>
    <workbookView xWindow="-120" yWindow="-120" windowWidth="29040" windowHeight="15840" xr2:uid="{E1C380CF-8F78-4C9D-88EB-97942F4762F3}"/>
  </bookViews>
  <sheets>
    <sheet name="Dec 2022 Z Factor (2024 Rates)" sheetId="14" r:id="rId1"/>
  </sheets>
  <definedNames>
    <definedName name="_ftn1" localSheetId="0">'Dec 2022 Z Factor (2024 Rates)'!$B$69</definedName>
    <definedName name="_ftn2" localSheetId="0">'Dec 2022 Z Factor (2024 Rates)'!$B$70</definedName>
    <definedName name="_ftnref1" localSheetId="0">'Dec 2022 Z Factor (2024 Rates)'!$D$52</definedName>
    <definedName name="_ftnref2" localSheetId="0">'Dec 2022 Z Factor (2024 Rates)'!$F$52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4" l="1"/>
  <c r="C10" i="14" l="1"/>
  <c r="G65" i="14" l="1"/>
  <c r="D65" i="14" l="1"/>
  <c r="C44" i="14"/>
  <c r="E64" i="14" l="1"/>
  <c r="D69" i="14"/>
  <c r="D71" i="14" s="1"/>
  <c r="E57" i="14"/>
  <c r="C5" i="14"/>
  <c r="C17" i="14" s="1"/>
  <c r="C19" i="14" s="1"/>
  <c r="E59" i="14"/>
  <c r="E61" i="14"/>
  <c r="E63" i="14"/>
  <c r="E58" i="14"/>
  <c r="E60" i="14"/>
  <c r="E62" i="14"/>
  <c r="E65" i="14" l="1"/>
  <c r="D30" i="14" l="1"/>
  <c r="D44" i="14" l="1"/>
  <c r="D31" i="14"/>
  <c r="D37" i="14" s="1"/>
  <c r="D43" i="14" s="1"/>
  <c r="D32" i="14" l="1"/>
  <c r="D35" i="14" s="1"/>
  <c r="D34" i="14" l="1"/>
  <c r="D36" i="14"/>
  <c r="D42" i="14" s="1"/>
  <c r="D45" i="14" s="1"/>
  <c r="D46" i="14" s="1"/>
  <c r="D47" i="14" s="1"/>
  <c r="D38" i="14" s="1"/>
  <c r="D39" i="14" l="1"/>
  <c r="C23" i="14"/>
  <c r="D8" i="14" s="1"/>
  <c r="C25" i="14" l="1"/>
  <c r="C53" i="14" s="1"/>
  <c r="D9" i="14"/>
  <c r="D10" i="14"/>
  <c r="D11" i="14"/>
  <c r="C51" i="14"/>
  <c r="D12" i="14" l="1"/>
  <c r="C24" i="14" s="1"/>
  <c r="C52" i="14" s="1"/>
  <c r="C54" i="14" s="1"/>
  <c r="F57" i="14" s="1"/>
  <c r="C26" i="14" l="1"/>
  <c r="F62" i="14"/>
  <c r="H62" i="14" s="1"/>
  <c r="I62" i="14" s="1"/>
  <c r="F58" i="14"/>
  <c r="H58" i="14" s="1"/>
  <c r="I58" i="14" s="1"/>
  <c r="F64" i="14"/>
  <c r="H64" i="14" s="1"/>
  <c r="I64" i="14" s="1"/>
  <c r="F63" i="14"/>
  <c r="H63" i="14" s="1"/>
  <c r="I63" i="14" s="1"/>
  <c r="F61" i="14"/>
  <c r="H61" i="14" s="1"/>
  <c r="I61" i="14" s="1"/>
  <c r="F60" i="14"/>
  <c r="H60" i="14" s="1"/>
  <c r="I60" i="14" s="1"/>
  <c r="F59" i="14"/>
  <c r="H59" i="14" s="1"/>
  <c r="I59" i="14" s="1"/>
  <c r="H57" i="14" l="1"/>
  <c r="I57" i="14" s="1"/>
  <c r="I65" i="14" s="1"/>
  <c r="F65" i="14"/>
  <c r="I69" i="14" l="1"/>
  <c r="I70" i="14" s="1"/>
</calcChain>
</file>

<file path=xl/sharedStrings.xml><?xml version="1.0" encoding="utf-8"?>
<sst xmlns="http://schemas.openxmlformats.org/spreadsheetml/2006/main" count="82" uniqueCount="71">
  <si>
    <t>Total</t>
  </si>
  <si>
    <t>check</t>
  </si>
  <si>
    <t>Category</t>
  </si>
  <si>
    <t>Amount</t>
  </si>
  <si>
    <t>O&amp;M (Recorded in Acct 1572)</t>
  </si>
  <si>
    <t>Capital Expenditures Revenue Requirement</t>
  </si>
  <si>
    <t>Total Z-Factor Claim</t>
  </si>
  <si>
    <t>Description</t>
  </si>
  <si>
    <t>Rate (%)</t>
  </si>
  <si>
    <t>OEB 1830 + 1835</t>
  </si>
  <si>
    <t>Incremental Capital</t>
  </si>
  <si>
    <t>Useful Life:</t>
  </si>
  <si>
    <t>Depreciation Expense</t>
  </si>
  <si>
    <t>Incremental Capital to be included in Rate Base</t>
  </si>
  <si>
    <t>Deemed Short Term Debt (4%)</t>
  </si>
  <si>
    <t>Deemed Long Term Debt (56%)</t>
  </si>
  <si>
    <t>Deemed Equity (40%)</t>
  </si>
  <si>
    <t>Amortization Expense</t>
  </si>
  <si>
    <t>Grossed Up PILS</t>
  </si>
  <si>
    <t>Revenue Requirement</t>
  </si>
  <si>
    <t>PILs Calculation</t>
  </si>
  <si>
    <t xml:space="preserve">  Deemed Equity</t>
  </si>
  <si>
    <t xml:space="preserve">  Add Back Amortization Expense</t>
  </si>
  <si>
    <t xml:space="preserve">  Deduct Enhanced CCA Expense</t>
  </si>
  <si>
    <t>Class 47 @ 8%, take enhanced CCA</t>
  </si>
  <si>
    <t xml:space="preserve">  Taxable Income</t>
  </si>
  <si>
    <t xml:space="preserve">  PILs Before Gross Up</t>
  </si>
  <si>
    <t xml:space="preserve">  Incremental Grossed Up PILS</t>
  </si>
  <si>
    <t>Total Storm Costs Recorded in Acct 1572:</t>
  </si>
  <si>
    <t>Total Interest:</t>
  </si>
  <si>
    <t>Capital Expenditures Revenue Requirement:</t>
  </si>
  <si>
    <t>Total Z-Factor Claim:</t>
  </si>
  <si>
    <t>Rate Class</t>
  </si>
  <si>
    <t>Unit</t>
  </si>
  <si>
    <t>% Allocation</t>
  </si>
  <si>
    <t>Total
Z-Factor Claim</t>
  </si>
  <si>
    <t>Z-Factor Rate Rider (per customer / connection per month)</t>
  </si>
  <si>
    <t>Z-Factor Revenue Reconciliation</t>
  </si>
  <si>
    <t>Residential</t>
  </si>
  <si>
    <t>kWh</t>
  </si>
  <si>
    <t xml:space="preserve">General Service Less Than 50 kW </t>
  </si>
  <si>
    <t xml:space="preserve">General Service 50 to 4,999 KW </t>
  </si>
  <si>
    <t>kW</t>
  </si>
  <si>
    <t>Embedded Distributor</t>
  </si>
  <si>
    <t>Unmetered Scattered Load</t>
  </si>
  <si>
    <t>Standby Power</t>
  </si>
  <si>
    <t>Sentinel Lighting</t>
  </si>
  <si>
    <t>Street Lighting</t>
  </si>
  <si>
    <t>TOTAL</t>
  </si>
  <si>
    <t>Difference due to Rounding:</t>
  </si>
  <si>
    <t>%:</t>
  </si>
  <si>
    <t>Q1 2023</t>
  </si>
  <si>
    <t>Q2 2023</t>
  </si>
  <si>
    <t>Q3 2023</t>
  </si>
  <si>
    <t>Q4 2023</t>
  </si>
  <si>
    <t>Allocated Revenue (2022 COS)</t>
  </si>
  <si>
    <t>Adj total</t>
  </si>
  <si>
    <t xml:space="preserve">2022 Base Revenue Requirement </t>
  </si>
  <si>
    <t>Customer Count (from 2022 RRR 2.1.2)</t>
  </si>
  <si>
    <t>OM&amp;A Component Principal Balance</t>
  </si>
  <si>
    <t>Quarter</t>
  </si>
  <si>
    <t>Rate</t>
  </si>
  <si>
    <t>$ Amount</t>
  </si>
  <si>
    <t xml:space="preserve">Reduce by: </t>
  </si>
  <si>
    <t>2023 Interest</t>
  </si>
  <si>
    <t>Capital (adjusted)</t>
  </si>
  <si>
    <t xml:space="preserve">Reconciling Item- Standby </t>
  </si>
  <si>
    <t xml:space="preserve">Reconciliations </t>
  </si>
  <si>
    <r>
      <t xml:space="preserve">Original Capital Amount 
</t>
    </r>
    <r>
      <rPr>
        <i/>
        <sz val="11"/>
        <color theme="1"/>
        <rFont val="Arial"/>
        <family val="2"/>
      </rPr>
      <t>(CAPEX, not RR)</t>
    </r>
  </si>
  <si>
    <t xml:space="preserve">Adjusted Z Factor CAPEX </t>
  </si>
  <si>
    <t>Total Z Factor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</si>
</sst>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&quot;$&quot;#,##0"/>
    <numFmt numFmtId="168" formatCode="&quot;$&quot;#,##0.00_);\(&quot;$&quot;#,##0.00\)"/>
    <numFmt numFmtId="169" formatCode="&quot;$&quot;#,##0_);[Red]\(&quot;$&quot;#,##0\)"/>
    <numFmt numFmtId="170" formatCode="&quot;$&quot;#,##0.00_);[Red]\(&quot;$&quot;#,##0.00\)"/>
    <numFmt numFmtId="17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 applyNumberFormat="0" applyFill="0" applyBorder="0" applyAlignment="0" applyProtection="0"/>
    <xf numFmtId="0" fontId="12" fillId="0" borderId="0"/>
  </cellStyleXfs>
  <cellXfs count="68">
    <xf numFmtId="0" fontId="0" fillId="0" borderId="0" xfId="0"/>
    <xf numFmtId="0" fontId="0" fillId="2" borderId="0" xfId="0" applyFill="1"/>
    <xf numFmtId="0" fontId="8" fillId="2" borderId="6" xfId="0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10" fontId="9" fillId="2" borderId="7" xfId="3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10" fontId="9" fillId="2" borderId="1" xfId="3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/>
    <xf numFmtId="166" fontId="7" fillId="2" borderId="18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0" fontId="15" fillId="2" borderId="0" xfId="6" applyFill="1"/>
    <xf numFmtId="0" fontId="8" fillId="2" borderId="8" xfId="0" applyFont="1" applyFill="1" applyBorder="1" applyAlignment="1">
      <alignment horizontal="center" vertical="center" wrapText="1"/>
    </xf>
    <xf numFmtId="166" fontId="9" fillId="2" borderId="11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176" fontId="0" fillId="2" borderId="0" xfId="3" applyNumberFormat="1" applyFont="1" applyFill="1"/>
    <xf numFmtId="166" fontId="0" fillId="2" borderId="0" xfId="0" applyNumberFormat="1" applyFill="1"/>
    <xf numFmtId="0" fontId="8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166" fontId="8" fillId="2" borderId="11" xfId="0" applyNumberFormat="1" applyFont="1" applyFill="1" applyBorder="1" applyAlignment="1">
      <alignment horizontal="center" vertical="center" wrapText="1"/>
    </xf>
    <xf numFmtId="10" fontId="9" fillId="2" borderId="11" xfId="3" applyNumberFormat="1" applyFont="1" applyFill="1" applyBorder="1" applyAlignment="1">
      <alignment horizontal="center" vertical="center" wrapText="1"/>
    </xf>
    <xf numFmtId="166" fontId="7" fillId="2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0" fillId="2" borderId="0" xfId="0" applyFont="1" applyFill="1" applyAlignment="1">
      <alignment vertical="center"/>
    </xf>
    <xf numFmtId="168" fontId="10" fillId="2" borderId="0" xfId="2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9" fontId="4" fillId="2" borderId="1" xfId="3" applyFont="1" applyFill="1" applyBorder="1" applyAlignment="1" applyProtection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169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169" fontId="5" fillId="2" borderId="0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165" fontId="5" fillId="2" borderId="0" xfId="2" applyNumberFormat="1" applyFont="1" applyFill="1" applyBorder="1" applyAlignment="1">
      <alignment horizontal="center" vertical="center"/>
    </xf>
    <xf numFmtId="0" fontId="3" fillId="2" borderId="0" xfId="0" applyFont="1" applyFill="1"/>
    <xf numFmtId="169" fontId="0" fillId="2" borderId="0" xfId="0" applyNumberFormat="1" applyFill="1"/>
    <xf numFmtId="0" fontId="11" fillId="2" borderId="0" xfId="0" applyFont="1" applyFill="1" applyAlignment="1">
      <alignment horizontal="right" vertical="center"/>
    </xf>
    <xf numFmtId="169" fontId="1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/>
    <xf numFmtId="10" fontId="11" fillId="2" borderId="0" xfId="3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6" fontId="6" fillId="3" borderId="11" xfId="0" applyNumberFormat="1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/>
    </xf>
    <xf numFmtId="0" fontId="13" fillId="3" borderId="12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8">
    <cellStyle name="Comma" xfId="2" builtinId="3"/>
    <cellStyle name="Currency" xfId="1" builtinId="4"/>
    <cellStyle name="Hyperlink" xfId="6" builtinId="8"/>
    <cellStyle name="Normal" xfId="0" builtinId="0"/>
    <cellStyle name="Normal 2" xfId="5" xr:uid="{E275319C-E22F-4362-85AE-9D4343DAFAF4}"/>
    <cellStyle name="Normal 3" xfId="7" xr:uid="{0A9EA250-D2B7-476D-9C2C-3E74C0BC053C}"/>
    <cellStyle name="Normal_Sheet7" xfId="4" xr:uid="{F0534515-3245-442E-BC85-FAAACA92D80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0A5A-CD92-4FCB-B056-6620321CC6B2}">
  <dimension ref="B1:K75"/>
  <sheetViews>
    <sheetView tabSelected="1" workbookViewId="0">
      <selection activeCell="I24" sqref="I24"/>
    </sheetView>
  </sheetViews>
  <sheetFormatPr defaultRowHeight="15" x14ac:dyDescent="0.25"/>
  <cols>
    <col min="1" max="1" width="9.140625" style="1"/>
    <col min="2" max="2" width="34.85546875" style="1" customWidth="1"/>
    <col min="3" max="3" width="16.42578125" style="1" bestFit="1" customWidth="1"/>
    <col min="4" max="4" width="27.28515625" style="1" customWidth="1"/>
    <col min="5" max="5" width="12.7109375" style="1" customWidth="1"/>
    <col min="6" max="6" width="17.85546875" style="1" customWidth="1"/>
    <col min="7" max="7" width="13.140625" style="1" customWidth="1"/>
    <col min="8" max="8" width="14.7109375" style="1" customWidth="1"/>
    <col min="9" max="9" width="11.5703125" style="1" bestFit="1" customWidth="1"/>
    <col min="10" max="10" width="9.140625" style="1"/>
    <col min="11" max="11" width="11.28515625" style="1" customWidth="1"/>
    <col min="12" max="16384" width="9.140625" style="1"/>
  </cols>
  <sheetData>
    <row r="1" spans="2:7" ht="15.75" thickBot="1" x14ac:dyDescent="0.3"/>
    <row r="2" spans="2:7" ht="15.75" thickBot="1" x14ac:dyDescent="0.3">
      <c r="B2" s="57" t="s">
        <v>2</v>
      </c>
      <c r="C2" s="58" t="s">
        <v>3</v>
      </c>
    </row>
    <row r="3" spans="2:7" ht="28.5" x14ac:dyDescent="0.25">
      <c r="B3" s="2" t="s">
        <v>68</v>
      </c>
      <c r="C3" s="3">
        <v>866568.48</v>
      </c>
    </row>
    <row r="4" spans="2:7" x14ac:dyDescent="0.25">
      <c r="B4" s="2" t="s">
        <v>63</v>
      </c>
      <c r="C4" s="4">
        <f>7/40</f>
        <v>0.17499999999999999</v>
      </c>
    </row>
    <row r="5" spans="2:7" x14ac:dyDescent="0.25">
      <c r="B5" s="5" t="s">
        <v>69</v>
      </c>
      <c r="C5" s="6">
        <f>C3*(1-C4)</f>
        <v>714918.99599999993</v>
      </c>
    </row>
    <row r="6" spans="2:7" ht="15.75" thickBot="1" x14ac:dyDescent="0.3">
      <c r="B6" s="7"/>
      <c r="C6" s="8"/>
    </row>
    <row r="7" spans="2:7" x14ac:dyDescent="0.25">
      <c r="B7" s="59" t="s">
        <v>60</v>
      </c>
      <c r="C7" s="60" t="s">
        <v>61</v>
      </c>
      <c r="D7" s="61" t="s">
        <v>62</v>
      </c>
    </row>
    <row r="8" spans="2:7" x14ac:dyDescent="0.25">
      <c r="B8" s="2" t="s">
        <v>51</v>
      </c>
      <c r="C8" s="9">
        <v>4.7300000000000002E-2</v>
      </c>
      <c r="D8" s="3">
        <f>ROUND(+$C$23*C8/4,-3)</f>
        <v>11000</v>
      </c>
    </row>
    <row r="9" spans="2:7" x14ac:dyDescent="0.25">
      <c r="B9" s="2" t="s">
        <v>52</v>
      </c>
      <c r="C9" s="9">
        <v>4.9799999999999997E-2</v>
      </c>
      <c r="D9" s="3">
        <f>ROUND(+$C$23*C9/4,-3)</f>
        <v>11000</v>
      </c>
    </row>
    <row r="10" spans="2:7" x14ac:dyDescent="0.25">
      <c r="B10" s="2" t="s">
        <v>53</v>
      </c>
      <c r="C10" s="9">
        <f>+C9</f>
        <v>4.9799999999999997E-2</v>
      </c>
      <c r="D10" s="3">
        <f>ROUND(+$C$23*C10/4,-3)</f>
        <v>11000</v>
      </c>
    </row>
    <row r="11" spans="2:7" x14ac:dyDescent="0.25">
      <c r="B11" s="2" t="s">
        <v>54</v>
      </c>
      <c r="C11" s="9">
        <v>5.4899999999999997E-2</v>
      </c>
      <c r="D11" s="3">
        <f>ROUND(+$C$23*C11/4,-3)</f>
        <v>12000</v>
      </c>
    </row>
    <row r="12" spans="2:7" ht="15.75" thickBot="1" x14ac:dyDescent="0.3">
      <c r="B12" s="10" t="s">
        <v>0</v>
      </c>
      <c r="C12" s="11"/>
      <c r="D12" s="12">
        <f>SUM(D8:D11)</f>
        <v>45000</v>
      </c>
    </row>
    <row r="14" spans="2:7" x14ac:dyDescent="0.25">
      <c r="B14" s="13"/>
      <c r="C14" s="8"/>
      <c r="D14" s="8"/>
      <c r="E14" s="8"/>
      <c r="F14" s="8"/>
      <c r="G14" s="8"/>
    </row>
    <row r="15" spans="2:7" ht="15.75" thickBot="1" x14ac:dyDescent="0.3">
      <c r="B15" s="13"/>
    </row>
    <row r="16" spans="2:7" ht="15.75" thickBot="1" x14ac:dyDescent="0.3">
      <c r="B16" s="57" t="s">
        <v>2</v>
      </c>
      <c r="C16" s="58" t="s">
        <v>3</v>
      </c>
    </row>
    <row r="17" spans="2:7" x14ac:dyDescent="0.25">
      <c r="B17" s="2" t="s">
        <v>65</v>
      </c>
      <c r="C17" s="3">
        <f>C5</f>
        <v>714918.99599999993</v>
      </c>
    </row>
    <row r="18" spans="2:7" x14ac:dyDescent="0.25">
      <c r="B18" s="14" t="s">
        <v>4</v>
      </c>
      <c r="C18" s="15">
        <v>892113.91</v>
      </c>
    </row>
    <row r="19" spans="2:7" ht="15.75" thickBot="1" x14ac:dyDescent="0.3">
      <c r="B19" s="16" t="s">
        <v>70</v>
      </c>
      <c r="C19" s="17">
        <f>SUM(C17:C18)</f>
        <v>1607032.906</v>
      </c>
    </row>
    <row r="21" spans="2:7" ht="15.75" thickBot="1" x14ac:dyDescent="0.3">
      <c r="B21" s="13"/>
    </row>
    <row r="22" spans="2:7" ht="15.75" thickBot="1" x14ac:dyDescent="0.3">
      <c r="B22" s="57" t="s">
        <v>2</v>
      </c>
      <c r="C22" s="58" t="s">
        <v>3</v>
      </c>
      <c r="G22" s="18"/>
    </row>
    <row r="23" spans="2:7" ht="29.25" thickBot="1" x14ac:dyDescent="0.3">
      <c r="B23" s="19" t="s">
        <v>59</v>
      </c>
      <c r="C23" s="20">
        <f>C18</f>
        <v>892113.91</v>
      </c>
    </row>
    <row r="24" spans="2:7" ht="15.75" thickBot="1" x14ac:dyDescent="0.3">
      <c r="B24" s="19" t="s">
        <v>64</v>
      </c>
      <c r="C24" s="20">
        <f>D12</f>
        <v>45000</v>
      </c>
    </row>
    <row r="25" spans="2:7" ht="29.25" thickBot="1" x14ac:dyDescent="0.3">
      <c r="B25" s="19" t="s">
        <v>5</v>
      </c>
      <c r="C25" s="20">
        <f>+D39</f>
        <v>39600</v>
      </c>
    </row>
    <row r="26" spans="2:7" ht="15.75" thickBot="1" x14ac:dyDescent="0.3">
      <c r="B26" s="62" t="s">
        <v>6</v>
      </c>
      <c r="C26" s="63">
        <f>SUM(C23:C25)</f>
        <v>976713.91</v>
      </c>
    </row>
    <row r="27" spans="2:7" x14ac:dyDescent="0.25">
      <c r="C27" s="22"/>
      <c r="D27" s="23"/>
    </row>
    <row r="28" spans="2:7" ht="15.75" thickBot="1" x14ac:dyDescent="0.3">
      <c r="B28" s="13"/>
    </row>
    <row r="29" spans="2:7" ht="30.75" thickBot="1" x14ac:dyDescent="0.3">
      <c r="B29" s="57" t="s">
        <v>7</v>
      </c>
      <c r="C29" s="58" t="s">
        <v>8</v>
      </c>
      <c r="D29" s="57" t="s">
        <v>3</v>
      </c>
      <c r="F29" s="57" t="s">
        <v>9</v>
      </c>
    </row>
    <row r="30" spans="2:7" ht="15.75" thickBot="1" x14ac:dyDescent="0.3">
      <c r="B30" s="24" t="s">
        <v>10</v>
      </c>
      <c r="C30" s="25"/>
      <c r="D30" s="20">
        <f>+C17</f>
        <v>714918.99599999993</v>
      </c>
      <c r="F30" s="1" t="s">
        <v>11</v>
      </c>
    </row>
    <row r="31" spans="2:7" ht="15.75" thickBot="1" x14ac:dyDescent="0.3">
      <c r="B31" s="24" t="s">
        <v>12</v>
      </c>
      <c r="C31" s="25"/>
      <c r="D31" s="20">
        <f>-ROUND(D30/F31,-2)</f>
        <v>-15900</v>
      </c>
      <c r="F31" s="1">
        <v>45</v>
      </c>
    </row>
    <row r="32" spans="2:7" ht="30.75" thickBot="1" x14ac:dyDescent="0.3">
      <c r="B32" s="26" t="s">
        <v>13</v>
      </c>
      <c r="C32" s="25"/>
      <c r="D32" s="21">
        <f>SUM(D30:D31)</f>
        <v>699018.99599999993</v>
      </c>
    </row>
    <row r="33" spans="2:5" ht="15.75" thickBot="1" x14ac:dyDescent="0.3">
      <c r="B33" s="24"/>
      <c r="C33" s="25"/>
      <c r="D33" s="27"/>
    </row>
    <row r="34" spans="2:5" ht="15.75" thickBot="1" x14ac:dyDescent="0.3">
      <c r="B34" s="24" t="s">
        <v>14</v>
      </c>
      <c r="C34" s="28">
        <v>1.17E-2</v>
      </c>
      <c r="D34" s="20">
        <f>+ROUND(D$32*C34*0.04,-2)</f>
        <v>300</v>
      </c>
    </row>
    <row r="35" spans="2:5" ht="15.75" thickBot="1" x14ac:dyDescent="0.3">
      <c r="B35" s="24" t="s">
        <v>15</v>
      </c>
      <c r="C35" s="28">
        <v>0.04</v>
      </c>
      <c r="D35" s="20">
        <f>+ROUND(D$32*C35*0.56,-2)</f>
        <v>15700</v>
      </c>
    </row>
    <row r="36" spans="2:5" ht="15.75" thickBot="1" x14ac:dyDescent="0.3">
      <c r="B36" s="24" t="s">
        <v>16</v>
      </c>
      <c r="C36" s="28">
        <v>8.6599999999999996E-2</v>
      </c>
      <c r="D36" s="20">
        <f>+ROUND(D$32*C36*0.4,-2)</f>
        <v>24200</v>
      </c>
    </row>
    <row r="37" spans="2:5" ht="15.75" thickBot="1" x14ac:dyDescent="0.3">
      <c r="B37" s="24" t="s">
        <v>17</v>
      </c>
      <c r="C37" s="25"/>
      <c r="D37" s="20">
        <f>-D31</f>
        <v>15900</v>
      </c>
    </row>
    <row r="38" spans="2:5" ht="15.75" thickBot="1" x14ac:dyDescent="0.3">
      <c r="B38" s="24" t="s">
        <v>18</v>
      </c>
      <c r="C38" s="25"/>
      <c r="D38" s="20">
        <f>+D47</f>
        <v>-16500</v>
      </c>
    </row>
    <row r="39" spans="2:5" ht="15.75" thickBot="1" x14ac:dyDescent="0.3">
      <c r="B39" s="26" t="s">
        <v>19</v>
      </c>
      <c r="C39" s="25"/>
      <c r="D39" s="21">
        <f>SUM(D34:D38)</f>
        <v>39600</v>
      </c>
    </row>
    <row r="40" spans="2:5" ht="15.75" thickBot="1" x14ac:dyDescent="0.3">
      <c r="B40" s="24"/>
      <c r="C40" s="25"/>
      <c r="D40" s="27"/>
    </row>
    <row r="41" spans="2:5" ht="15.75" thickBot="1" x14ac:dyDescent="0.3">
      <c r="B41" s="26" t="s">
        <v>20</v>
      </c>
      <c r="C41" s="25"/>
      <c r="D41" s="27"/>
    </row>
    <row r="42" spans="2:5" ht="15.75" thickBot="1" x14ac:dyDescent="0.3">
      <c r="B42" s="24" t="s">
        <v>21</v>
      </c>
      <c r="C42" s="25"/>
      <c r="D42" s="20">
        <f>+D36</f>
        <v>24200</v>
      </c>
    </row>
    <row r="43" spans="2:5" ht="15.75" thickBot="1" x14ac:dyDescent="0.3">
      <c r="B43" s="24" t="s">
        <v>22</v>
      </c>
      <c r="C43" s="25"/>
      <c r="D43" s="20">
        <f>+D37</f>
        <v>15900</v>
      </c>
    </row>
    <row r="44" spans="2:5" ht="15.75" thickBot="1" x14ac:dyDescent="0.3">
      <c r="B44" s="24" t="s">
        <v>23</v>
      </c>
      <c r="C44" s="28">
        <f>8*1.5%</f>
        <v>0.12</v>
      </c>
      <c r="D44" s="20">
        <f>-ROUND(D30*C44,-2)</f>
        <v>-85800</v>
      </c>
      <c r="E44" s="1" t="s">
        <v>24</v>
      </c>
    </row>
    <row r="45" spans="2:5" ht="15.75" thickBot="1" x14ac:dyDescent="0.3">
      <c r="B45" s="26" t="s">
        <v>25</v>
      </c>
      <c r="C45" s="25"/>
      <c r="D45" s="29">
        <f>SUM(D42:D44)</f>
        <v>-45700</v>
      </c>
    </row>
    <row r="46" spans="2:5" ht="15.75" thickBot="1" x14ac:dyDescent="0.3">
      <c r="B46" s="24" t="s">
        <v>26</v>
      </c>
      <c r="C46" s="28">
        <v>0.26500000000000001</v>
      </c>
      <c r="D46" s="20">
        <f>+ROUND(C46*D45,-2)</f>
        <v>-12100</v>
      </c>
    </row>
    <row r="47" spans="2:5" ht="15.75" thickBot="1" x14ac:dyDescent="0.3">
      <c r="B47" s="26" t="s">
        <v>27</v>
      </c>
      <c r="C47" s="25"/>
      <c r="D47" s="20">
        <f>+ROUND(D46/(1-C46),-2)</f>
        <v>-16500</v>
      </c>
    </row>
    <row r="50" spans="2:11" x14ac:dyDescent="0.25">
      <c r="B50" s="13"/>
      <c r="E50" s="30"/>
    </row>
    <row r="51" spans="2:11" x14ac:dyDescent="0.25">
      <c r="B51" s="31" t="s">
        <v>28</v>
      </c>
      <c r="C51" s="32">
        <f>C23</f>
        <v>892113.91</v>
      </c>
      <c r="D51" s="33"/>
      <c r="E51" s="33"/>
      <c r="F51" s="33"/>
      <c r="G51" s="33"/>
      <c r="H51" s="33"/>
      <c r="I51" s="33"/>
      <c r="J51" s="33"/>
      <c r="K51" s="33"/>
    </row>
    <row r="52" spans="2:11" ht="14.25" customHeight="1" x14ac:dyDescent="0.25">
      <c r="B52" s="31" t="s">
        <v>29</v>
      </c>
      <c r="C52" s="32">
        <f>C24</f>
        <v>45000</v>
      </c>
      <c r="D52" s="33"/>
      <c r="E52" s="33"/>
      <c r="F52" s="33"/>
      <c r="G52" s="33"/>
      <c r="H52" s="33"/>
      <c r="I52" s="33"/>
      <c r="J52" s="33"/>
      <c r="K52" s="33"/>
    </row>
    <row r="53" spans="2:11" ht="14.25" customHeight="1" x14ac:dyDescent="0.25">
      <c r="B53" s="31" t="s">
        <v>30</v>
      </c>
      <c r="C53" s="32">
        <f>C25</f>
        <v>39600</v>
      </c>
      <c r="D53" s="33"/>
      <c r="E53" s="33"/>
      <c r="F53" s="33"/>
      <c r="G53" s="33"/>
      <c r="H53" s="33"/>
      <c r="I53" s="33"/>
      <c r="J53" s="33"/>
      <c r="K53" s="33"/>
    </row>
    <row r="54" spans="2:11" x14ac:dyDescent="0.25">
      <c r="B54" s="31" t="s">
        <v>31</v>
      </c>
      <c r="C54" s="32">
        <f>C51+C52+C53</f>
        <v>976713.91</v>
      </c>
      <c r="D54" s="33"/>
      <c r="E54" s="33"/>
      <c r="F54" s="33"/>
      <c r="G54" s="33"/>
      <c r="H54" s="33"/>
      <c r="I54" s="33"/>
      <c r="J54" s="33"/>
      <c r="K54" s="33"/>
    </row>
    <row r="55" spans="2:11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ht="94.5" x14ac:dyDescent="0.25">
      <c r="B56" s="64" t="s">
        <v>32</v>
      </c>
      <c r="C56" s="64" t="s">
        <v>33</v>
      </c>
      <c r="D56" s="65" t="s">
        <v>55</v>
      </c>
      <c r="E56" s="65" t="s">
        <v>34</v>
      </c>
      <c r="F56" s="65" t="s">
        <v>35</v>
      </c>
      <c r="G56" s="65" t="s">
        <v>58</v>
      </c>
      <c r="H56" s="66" t="s">
        <v>36</v>
      </c>
      <c r="I56" s="67" t="s">
        <v>37</v>
      </c>
    </row>
    <row r="57" spans="2:11" x14ac:dyDescent="0.25">
      <c r="B57" s="34" t="s">
        <v>38</v>
      </c>
      <c r="C57" s="35" t="s">
        <v>39</v>
      </c>
      <c r="D57" s="36">
        <v>13196610.87178003</v>
      </c>
      <c r="E57" s="37">
        <f>D57/$D$65</f>
        <v>0.60688649857231736</v>
      </c>
      <c r="F57" s="36">
        <f>$C$54*E57</f>
        <v>592754.48494677758</v>
      </c>
      <c r="G57" s="38">
        <v>27703</v>
      </c>
      <c r="H57" s="39">
        <f t="shared" ref="H57:H64" si="0">ROUND(F57/G57/12,2)</f>
        <v>1.78</v>
      </c>
      <c r="I57" s="36">
        <f t="shared" ref="I57:I64" si="1">G57*H57*12</f>
        <v>591736.08000000007</v>
      </c>
    </row>
    <row r="58" spans="2:11" x14ac:dyDescent="0.25">
      <c r="B58" s="40" t="s">
        <v>40</v>
      </c>
      <c r="C58" s="35" t="s">
        <v>39</v>
      </c>
      <c r="D58" s="36">
        <v>2893982.6023949254</v>
      </c>
      <c r="E58" s="37">
        <f t="shared" ref="E58:E64" si="2">D58/$D$65</f>
        <v>0.1330886381027129</v>
      </c>
      <c r="F58" s="36">
        <f t="shared" ref="F58:F64" si="3">$C$54*E58</f>
        <v>129989.52409787571</v>
      </c>
      <c r="G58" s="38">
        <v>2530</v>
      </c>
      <c r="H58" s="39">
        <f t="shared" si="0"/>
        <v>4.28</v>
      </c>
      <c r="I58" s="36">
        <f t="shared" si="1"/>
        <v>129940.80000000002</v>
      </c>
    </row>
    <row r="59" spans="2:11" x14ac:dyDescent="0.25">
      <c r="B59" s="40" t="s">
        <v>41</v>
      </c>
      <c r="C59" s="35" t="s">
        <v>42</v>
      </c>
      <c r="D59" s="36">
        <v>5064256.0932398774</v>
      </c>
      <c r="E59" s="37">
        <f t="shared" si="2"/>
        <v>0.2328953000252641</v>
      </c>
      <c r="F59" s="36">
        <f t="shared" si="3"/>
        <v>227472.07910829881</v>
      </c>
      <c r="G59" s="38">
        <v>200</v>
      </c>
      <c r="H59" s="39">
        <f t="shared" si="0"/>
        <v>94.78</v>
      </c>
      <c r="I59" s="36">
        <f t="shared" si="1"/>
        <v>227472</v>
      </c>
    </row>
    <row r="60" spans="2:11" x14ac:dyDescent="0.25">
      <c r="B60" s="40" t="s">
        <v>43</v>
      </c>
      <c r="C60" s="35" t="s">
        <v>42</v>
      </c>
      <c r="D60" s="36">
        <v>134342.32024695553</v>
      </c>
      <c r="E60" s="37">
        <f t="shared" si="2"/>
        <v>6.1781423379773034E-3</v>
      </c>
      <c r="F60" s="36">
        <f t="shared" si="3"/>
        <v>6034.2775594623536</v>
      </c>
      <c r="G60" s="38">
        <v>1</v>
      </c>
      <c r="H60" s="39">
        <f t="shared" si="0"/>
        <v>502.86</v>
      </c>
      <c r="I60" s="36">
        <f t="shared" si="1"/>
        <v>6034.32</v>
      </c>
    </row>
    <row r="61" spans="2:11" x14ac:dyDescent="0.25">
      <c r="B61" s="40" t="s">
        <v>44</v>
      </c>
      <c r="C61" s="35" t="s">
        <v>39</v>
      </c>
      <c r="D61" s="36">
        <v>66309.276645307924</v>
      </c>
      <c r="E61" s="37">
        <f t="shared" si="2"/>
        <v>3.0494348221018642E-3</v>
      </c>
      <c r="F61" s="36">
        <f t="shared" si="3"/>
        <v>2978.4254083852661</v>
      </c>
      <c r="G61" s="38">
        <v>42</v>
      </c>
      <c r="H61" s="39">
        <f t="shared" si="0"/>
        <v>5.91</v>
      </c>
      <c r="I61" s="36">
        <f t="shared" si="1"/>
        <v>2978.64</v>
      </c>
    </row>
    <row r="62" spans="2:11" x14ac:dyDescent="0.25">
      <c r="B62" s="40" t="s">
        <v>45</v>
      </c>
      <c r="C62" s="35" t="s">
        <v>42</v>
      </c>
      <c r="D62" s="36">
        <v>0</v>
      </c>
      <c r="E62" s="37">
        <f t="shared" si="2"/>
        <v>0</v>
      </c>
      <c r="F62" s="36">
        <f t="shared" si="3"/>
        <v>0</v>
      </c>
      <c r="G62" s="38">
        <v>1</v>
      </c>
      <c r="H62" s="39">
        <f t="shared" si="0"/>
        <v>0</v>
      </c>
      <c r="I62" s="36">
        <f t="shared" si="1"/>
        <v>0</v>
      </c>
    </row>
    <row r="63" spans="2:11" x14ac:dyDescent="0.25">
      <c r="B63" s="40" t="s">
        <v>46</v>
      </c>
      <c r="C63" s="35" t="s">
        <v>42</v>
      </c>
      <c r="D63" s="36">
        <v>56687.822688390719</v>
      </c>
      <c r="E63" s="37">
        <f t="shared" si="2"/>
        <v>2.6069628450297211E-3</v>
      </c>
      <c r="F63" s="36">
        <f t="shared" si="3"/>
        <v>2546.2568735937029</v>
      </c>
      <c r="G63" s="38">
        <v>633</v>
      </c>
      <c r="H63" s="39">
        <f t="shared" si="0"/>
        <v>0.34</v>
      </c>
      <c r="I63" s="36">
        <f t="shared" si="1"/>
        <v>2582.6400000000003</v>
      </c>
    </row>
    <row r="64" spans="2:11" x14ac:dyDescent="0.25">
      <c r="B64" s="40" t="s">
        <v>47</v>
      </c>
      <c r="C64" s="35" t="s">
        <v>42</v>
      </c>
      <c r="D64" s="36">
        <v>332586.8530086478</v>
      </c>
      <c r="E64" s="37">
        <f t="shared" si="2"/>
        <v>1.5295023294596748E-2</v>
      </c>
      <c r="F64" s="36">
        <f t="shared" si="3"/>
        <v>14938.862005606672</v>
      </c>
      <c r="G64" s="38">
        <v>6017</v>
      </c>
      <c r="H64" s="39">
        <f t="shared" si="0"/>
        <v>0.21</v>
      </c>
      <c r="I64" s="36">
        <f t="shared" si="1"/>
        <v>15162.84</v>
      </c>
    </row>
    <row r="65" spans="2:9" ht="15.75" x14ac:dyDescent="0.25">
      <c r="B65" s="41" t="s">
        <v>48</v>
      </c>
      <c r="C65" s="40"/>
      <c r="D65" s="42">
        <f>SUM(D57:D64)</f>
        <v>21744775.840004135</v>
      </c>
      <c r="E65" s="43">
        <f>SUM(E57:E64)</f>
        <v>0.99999999999999989</v>
      </c>
      <c r="F65" s="42">
        <f>SUM(F57:F64)</f>
        <v>976713.90999999992</v>
      </c>
      <c r="G65" s="44">
        <f>SUM(G57:G64)</f>
        <v>37127</v>
      </c>
      <c r="H65" s="40"/>
      <c r="I65" s="42">
        <f>SUM(I57:I64)</f>
        <v>975907.32000000007</v>
      </c>
    </row>
    <row r="66" spans="2:9" ht="15.75" x14ac:dyDescent="0.25">
      <c r="B66" s="45"/>
      <c r="C66" s="46"/>
      <c r="D66" s="47"/>
      <c r="E66" s="48"/>
      <c r="F66" s="47"/>
      <c r="G66" s="49"/>
      <c r="H66" s="46"/>
      <c r="I66" s="47"/>
    </row>
    <row r="67" spans="2:9" x14ac:dyDescent="0.25">
      <c r="B67" s="50" t="s">
        <v>67</v>
      </c>
    </row>
    <row r="68" spans="2:9" x14ac:dyDescent="0.25">
      <c r="B68" s="51" t="s">
        <v>66</v>
      </c>
      <c r="D68" s="51">
        <v>98948</v>
      </c>
    </row>
    <row r="69" spans="2:9" x14ac:dyDescent="0.25">
      <c r="B69" s="51" t="s">
        <v>56</v>
      </c>
      <c r="D69" s="51">
        <f>SUM(D65:D68)</f>
        <v>21843723.840004135</v>
      </c>
      <c r="H69" s="52" t="s">
        <v>49</v>
      </c>
      <c r="I69" s="53">
        <f>I65-F65</f>
        <v>-806.58999999985099</v>
      </c>
    </row>
    <row r="70" spans="2:9" x14ac:dyDescent="0.25">
      <c r="B70" s="51" t="s">
        <v>57</v>
      </c>
      <c r="D70" s="54">
        <v>21843724</v>
      </c>
      <c r="H70" s="52" t="s">
        <v>50</v>
      </c>
      <c r="I70" s="55">
        <f>I69/D65</f>
        <v>-3.7093507237538741E-5</v>
      </c>
    </row>
    <row r="71" spans="2:9" x14ac:dyDescent="0.25">
      <c r="B71" s="51" t="s">
        <v>1</v>
      </c>
      <c r="D71" s="51">
        <f>D69-D70</f>
        <v>-0.15999586507678032</v>
      </c>
    </row>
    <row r="72" spans="2:9" x14ac:dyDescent="0.25">
      <c r="D72" s="56"/>
    </row>
    <row r="73" spans="2:9" x14ac:dyDescent="0.25">
      <c r="B73" s="56"/>
      <c r="C73" s="56"/>
      <c r="D73" s="56"/>
      <c r="E73" s="56"/>
      <c r="F73" s="56"/>
      <c r="G73" s="56"/>
      <c r="H73" s="56"/>
      <c r="I73" s="56"/>
    </row>
    <row r="75" spans="2:9" x14ac:dyDescent="0.25">
      <c r="B75" s="5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Dec 2022 Z Factor (2024 Rates)</vt:lpstr>
      <vt:lpstr>'Dec 2022 Z Factor (2024 Rates)'!_ftn1</vt:lpstr>
      <vt:lpstr>'Dec 2022 Z Factor (2024 Rates)'!_ftn2</vt:lpstr>
      <vt:lpstr>'Dec 2022 Z Factor (2024 Rates)'!_ftnref1</vt:lpstr>
      <vt:lpstr>'Dec 2022 Z Factor (2024 Rates)'!_ftnref2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Stefan, Oana</dc:creator>
  <cp:keywords/>
  <dc:description/>
  <cp:lastModifiedBy>Stefan, Oana</cp:lastModifiedBy>
  <cp:revision/>
  <cp:lastPrinted>2022-10-11T17:44:46Z</cp:lastPrinted>
  <dcterms:created xsi:type="dcterms:W3CDTF">2022-10-04T13:02:39Z</dcterms:created>
  <dcterms:modified xsi:type="dcterms:W3CDTF">2023-12-19T19:19:31Z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</Properties>
</file>