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 codeName="ThisWorkbook" defaultThemeVersion="124226"/>
  <xr:revisionPtr revIDLastSave="0" documentId="13_ncr:1_{33B61840-21A5-41BF-A265-6BCCCAE830AF}" xr6:coauthVersionLast="47" xr6:coauthVersionMax="47" xr10:uidLastSave="{00000000-0000-0000-0000-000000000000}"/>
  <bookViews>
    <workbookView xWindow="-120" yWindow="-120" windowWidth="29040" windowHeight="15840" tabRatio="878" activeTab="2" xr2:uid="{00000000-000D-0000-FFFF-FFFF00000000}"/>
  </bookViews>
  <sheets>
    <sheet name="Summary" sheetId="11" r:id="rId1"/>
    <sheet name="Purchd Power Model Weather norm" sheetId="74" r:id="rId2"/>
    <sheet name="Purchased Power Model" sheetId="73" r:id="rId3"/>
    <sheet name="Rate Class Energy Model" sheetId="9" r:id="rId4"/>
    <sheet name="Rate Class Customer Model" sheetId="17" r:id="rId5"/>
    <sheet name="Rate Class Load Model" sheetId="18" r:id="rId6"/>
    <sheet name="2024 RPP non-RPP COP" sheetId="75" r:id="rId7"/>
    <sheet name="Summaries" sheetId="60" r:id="rId8"/>
    <sheet name="Inputs" sheetId="61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CAP1000" localSheetId="2">#REF!</definedName>
    <definedName name="__CAP1000" localSheetId="1">#REF!</definedName>
    <definedName name="__CAP1000">#REF!</definedName>
    <definedName name="__OP1000" localSheetId="2">#REF!</definedName>
    <definedName name="__OP1000" localSheetId="1">#REF!</definedName>
    <definedName name="__OP1000">#REF!</definedName>
    <definedName name="_110" localSheetId="2">#REF!</definedName>
    <definedName name="_110" localSheetId="1">#REF!</definedName>
    <definedName name="_110">#REF!</definedName>
    <definedName name="_110INPT" localSheetId="2">#REF!</definedName>
    <definedName name="_110INPT" localSheetId="1">#REF!</definedName>
    <definedName name="_110INPT">#REF!</definedName>
    <definedName name="_115" localSheetId="2">#REF!</definedName>
    <definedName name="_115" localSheetId="1">#REF!</definedName>
    <definedName name="_115">#REF!</definedName>
    <definedName name="_115INPT" localSheetId="2">#REF!</definedName>
    <definedName name="_115INPT" localSheetId="1">#REF!</definedName>
    <definedName name="_115INPT">#REF!</definedName>
    <definedName name="_120" localSheetId="2">#REF!</definedName>
    <definedName name="_120" localSheetId="1">#REF!</definedName>
    <definedName name="_120">#REF!</definedName>
    <definedName name="_140" localSheetId="2">#REF!</definedName>
    <definedName name="_140" localSheetId="1">#REF!</definedName>
    <definedName name="_140">#REF!</definedName>
    <definedName name="_140INPT" localSheetId="2">#REF!</definedName>
    <definedName name="_140INPT" localSheetId="1">#REF!</definedName>
    <definedName name="_140INPT">#REF!</definedName>
    <definedName name="_CAP1000" localSheetId="2">#REF!</definedName>
    <definedName name="_CAP1000" localSheetId="1">#REF!</definedName>
    <definedName name="_CAP1000">#REF!</definedName>
    <definedName name="_Fill" hidden="1">'[1]Old MEA Statistics'!$B$250</definedName>
    <definedName name="_OP1000" localSheetId="2">#REF!</definedName>
    <definedName name="_OP1000" localSheetId="1">#REF!</definedName>
    <definedName name="_OP1000">#REF!</definedName>
    <definedName name="_Order1" hidden="1">255</definedName>
    <definedName name="_Order2" hidden="1">0</definedName>
    <definedName name="_Sort" hidden="1">[2]Sheet1!$G$40:$K$40</definedName>
    <definedName name="abc">[3]Refs!$B$8</definedName>
    <definedName name="ALL" localSheetId="2">#REF!</definedName>
    <definedName name="ALL" localSheetId="1">#REF!</definedName>
    <definedName name="ALL">#REF!</definedName>
    <definedName name="ApprovedYr">'[4]Z1.ModelVariables'!$C$12</definedName>
    <definedName name="CAfile">[5]Refs!$B$2</definedName>
    <definedName name="CAPCOSTS" localSheetId="2">#REF!</definedName>
    <definedName name="CAPCOSTS" localSheetId="1">#REF!</definedName>
    <definedName name="CAPCOSTS">#REF!</definedName>
    <definedName name="CAPITAL" localSheetId="2">#REF!</definedName>
    <definedName name="CAPITAL" localSheetId="1">#REF!</definedName>
    <definedName name="CAPITAL">#REF!</definedName>
    <definedName name="CapitalExpListing" localSheetId="2">#REF!</definedName>
    <definedName name="CapitalExpListing" localSheetId="1">#REF!</definedName>
    <definedName name="CapitalExpListing">#REF!</definedName>
    <definedName name="CArevReq">[5]Refs!$B$6</definedName>
    <definedName name="CASHFLOW" localSheetId="2">#REF!</definedName>
    <definedName name="CASHFLOW" localSheetId="1">#REF!</definedName>
    <definedName name="CASHFLOW">#REF!</definedName>
    <definedName name="cc" localSheetId="2">#REF!</definedName>
    <definedName name="cc" localSheetId="1">#REF!</definedName>
    <definedName name="cc">#REF!</definedName>
    <definedName name="ClassRange1">[5]Refs!$B$3</definedName>
    <definedName name="ClassRange2">[5]Refs!$B$4</definedName>
    <definedName name="contactf" localSheetId="2">#REF!</definedName>
    <definedName name="contactf" localSheetId="1">#REF!</definedName>
    <definedName name="contactf">#REF!</definedName>
    <definedName name="_xlnm.Criteria" localSheetId="2">#REF!</definedName>
    <definedName name="_xlnm.Criteria" localSheetId="1">#REF!</definedName>
    <definedName name="_xlnm.Criteria">#REF!</definedName>
    <definedName name="CRLF">'[4]Z1.ModelVariables'!$C$10</definedName>
    <definedName name="_xlnm.Database" localSheetId="2">#REF!</definedName>
    <definedName name="_xlnm.Database" localSheetId="1">#REF!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 localSheetId="2">#REF!</definedName>
    <definedName name="DEBTREPAY" localSheetId="1">#REF!</definedName>
    <definedName name="DEBTREPAY">#REF!</definedName>
    <definedName name="DeptDiv" localSheetId="2">#REF!</definedName>
    <definedName name="DeptDiv" localSheetId="1">#REF!</definedName>
    <definedName name="DeptDiv">#REF!</definedName>
    <definedName name="ExpenseAccountListing" localSheetId="2">#REF!</definedName>
    <definedName name="ExpenseAccountListing" localSheetId="1">#REF!</definedName>
    <definedName name="ExpenseAccountListing">#REF!</definedName>
    <definedName name="_xlnm.Extract" localSheetId="2">#REF!</definedName>
    <definedName name="_xlnm.Extract" localSheetId="1">#REF!</definedName>
    <definedName name="_xlnm.Extract">#REF!</definedName>
    <definedName name="FakeBlank">'[4]Z1.ModelVariables'!$C$14</definedName>
    <definedName name="FolderPath">[5]Menu!$C$8</definedName>
    <definedName name="histdate">[7]Financials!$E$76</definedName>
    <definedName name="Incr2000" localSheetId="2">#REF!</definedName>
    <definedName name="Incr2000" localSheetId="1">#REF!</definedName>
    <definedName name="Incr2000">#REF!</definedName>
    <definedName name="INTERIM" localSheetId="2">#REF!</definedName>
    <definedName name="INTERIM" localSheetId="1">#REF!</definedName>
    <definedName name="INTERIM">#REF!</definedName>
    <definedName name="LIMIT" localSheetId="2">#REF!</definedName>
    <definedName name="LIMIT" localSheetId="1">#REF!</definedName>
    <definedName name="LIMIT">#REF!</definedName>
    <definedName name="man_beg_bud" localSheetId="2">#REF!</definedName>
    <definedName name="man_beg_bud" localSheetId="1">#REF!</definedName>
    <definedName name="man_beg_bud">#REF!</definedName>
    <definedName name="man_end_bud" localSheetId="2">#REF!</definedName>
    <definedName name="man_end_bud" localSheetId="1">#REF!</definedName>
    <definedName name="man_end_bud">#REF!</definedName>
    <definedName name="man12ACT" localSheetId="2">#REF!</definedName>
    <definedName name="man12ACT" localSheetId="1">#REF!</definedName>
    <definedName name="man12ACT">#REF!</definedName>
    <definedName name="MANBUD" localSheetId="2">#REF!</definedName>
    <definedName name="MANBUD" localSheetId="1">#REF!</definedName>
    <definedName name="MANBUD">#REF!</definedName>
    <definedName name="manCYACT" localSheetId="2">#REF!</definedName>
    <definedName name="manCYACT" localSheetId="1">#REF!</definedName>
    <definedName name="manCYACT">#REF!</definedName>
    <definedName name="manCYBUD" localSheetId="2">#REF!</definedName>
    <definedName name="manCYBUD" localSheetId="1">#REF!</definedName>
    <definedName name="manCYBUD">#REF!</definedName>
    <definedName name="manCYF" localSheetId="2">#REF!</definedName>
    <definedName name="manCYF" localSheetId="1">#REF!</definedName>
    <definedName name="manCYF">#REF!</definedName>
    <definedName name="MANEND" localSheetId="2">#REF!</definedName>
    <definedName name="MANEND" localSheetId="1">#REF!</definedName>
    <definedName name="MANEND">#REF!</definedName>
    <definedName name="manNYbud" localSheetId="2">#REF!</definedName>
    <definedName name="manNYbud" localSheetId="1">#REF!</definedName>
    <definedName name="manNYbud">#REF!</definedName>
    <definedName name="manpower_costs" localSheetId="2">#REF!</definedName>
    <definedName name="manpower_costs" localSheetId="1">#REF!</definedName>
    <definedName name="manpower_costs">#REF!</definedName>
    <definedName name="manPYACT" localSheetId="2">#REF!</definedName>
    <definedName name="manPYACT" localSheetId="1">#REF!</definedName>
    <definedName name="manPYACT">#REF!</definedName>
    <definedName name="MANSTART" localSheetId="2">#REF!</definedName>
    <definedName name="MANSTART" localSheetId="1">#REF!</definedName>
    <definedName name="MANSTART">#REF!</definedName>
    <definedName name="mat_beg_bud" localSheetId="2">#REF!</definedName>
    <definedName name="mat_beg_bud" localSheetId="1">#REF!</definedName>
    <definedName name="mat_beg_bud">#REF!</definedName>
    <definedName name="mat_end_bud" localSheetId="2">#REF!</definedName>
    <definedName name="mat_end_bud" localSheetId="1">#REF!</definedName>
    <definedName name="mat_end_bud">#REF!</definedName>
    <definedName name="mat12ACT" localSheetId="2">#REF!</definedName>
    <definedName name="mat12ACT" localSheetId="1">#REF!</definedName>
    <definedName name="mat12ACT">#REF!</definedName>
    <definedName name="MATBUD" localSheetId="2">#REF!</definedName>
    <definedName name="MATBUD" localSheetId="1">#REF!</definedName>
    <definedName name="MATBUD">#REF!</definedName>
    <definedName name="matCYACT" localSheetId="2">#REF!</definedName>
    <definedName name="matCYACT" localSheetId="1">#REF!</definedName>
    <definedName name="matCYACT">#REF!</definedName>
    <definedName name="matCYBUD" localSheetId="2">#REF!</definedName>
    <definedName name="matCYBUD" localSheetId="1">#REF!</definedName>
    <definedName name="matCYBUD">#REF!</definedName>
    <definedName name="matCYF" localSheetId="2">#REF!</definedName>
    <definedName name="matCYF" localSheetId="1">#REF!</definedName>
    <definedName name="matCYF">#REF!</definedName>
    <definedName name="MATEND" localSheetId="2">#REF!</definedName>
    <definedName name="MATEND" localSheetId="1">#REF!</definedName>
    <definedName name="MATEND">#REF!</definedName>
    <definedName name="material_costs" localSheetId="2">#REF!</definedName>
    <definedName name="material_costs" localSheetId="1">#REF!</definedName>
    <definedName name="material_costs">#REF!</definedName>
    <definedName name="matNYbud" localSheetId="2">#REF!</definedName>
    <definedName name="matNYbud" localSheetId="1">#REF!</definedName>
    <definedName name="matNYbud">#REF!</definedName>
    <definedName name="matPYACT" localSheetId="2">#REF!</definedName>
    <definedName name="matPYACT" localSheetId="1">#REF!</definedName>
    <definedName name="matPYACT">#REF!</definedName>
    <definedName name="MATSTART" localSheetId="2">#REF!</definedName>
    <definedName name="MATSTART" localSheetId="1">#REF!</definedName>
    <definedName name="MATSTART">#REF!</definedName>
    <definedName name="mea" localSheetId="2">#REF!</definedName>
    <definedName name="mea" localSheetId="1">#REF!</definedName>
    <definedName name="mea">#REF!</definedName>
    <definedName name="MEABAL" localSheetId="2">#REF!</definedName>
    <definedName name="MEABAL" localSheetId="1">#REF!</definedName>
    <definedName name="MEABAL">#REF!</definedName>
    <definedName name="MEACASH" localSheetId="2">#REF!</definedName>
    <definedName name="MEACASH" localSheetId="1">#REF!</definedName>
    <definedName name="MEACASH">#REF!</definedName>
    <definedName name="MEAEQITY" localSheetId="2">#REF!</definedName>
    <definedName name="MEAEQITY" localSheetId="1">#REF!</definedName>
    <definedName name="MEAEQITY">#REF!</definedName>
    <definedName name="MEAOP" localSheetId="2">#REF!</definedName>
    <definedName name="MEAOP" localSheetId="1">#REF!</definedName>
    <definedName name="MEAOP">#REF!</definedName>
    <definedName name="MofF" localSheetId="2">#REF!</definedName>
    <definedName name="MofF" localSheetId="1">#REF!</definedName>
    <definedName name="MofF">#REF!</definedName>
    <definedName name="NewRevReq">[5]Refs!$B$8</definedName>
    <definedName name="NOTES" localSheetId="2">#REF!</definedName>
    <definedName name="NOTES" localSheetId="1">#REF!</definedName>
    <definedName name="NOTES">#REF!</definedName>
    <definedName name="OPERATING" localSheetId="2">#REF!</definedName>
    <definedName name="OPERATING" localSheetId="1">#REF!</definedName>
    <definedName name="OPERATING">#REF!</definedName>
    <definedName name="oth_beg_bud" localSheetId="2">#REF!</definedName>
    <definedName name="oth_beg_bud" localSheetId="1">#REF!</definedName>
    <definedName name="oth_beg_bud">#REF!</definedName>
    <definedName name="oth_end_bud" localSheetId="2">#REF!</definedName>
    <definedName name="oth_end_bud" localSheetId="1">#REF!</definedName>
    <definedName name="oth_end_bud">#REF!</definedName>
    <definedName name="oth12ACT" localSheetId="2">#REF!</definedName>
    <definedName name="oth12ACT" localSheetId="1">#REF!</definedName>
    <definedName name="oth12ACT">#REF!</definedName>
    <definedName name="othCYACT" localSheetId="2">#REF!</definedName>
    <definedName name="othCYACT" localSheetId="1">#REF!</definedName>
    <definedName name="othCYACT">#REF!</definedName>
    <definedName name="othCYBUD" localSheetId="2">#REF!</definedName>
    <definedName name="othCYBUD" localSheetId="1">#REF!</definedName>
    <definedName name="othCYBUD">#REF!</definedName>
    <definedName name="othCYF" localSheetId="2">#REF!</definedName>
    <definedName name="othCYF" localSheetId="1">#REF!</definedName>
    <definedName name="othCYF">#REF!</definedName>
    <definedName name="OTHEND" localSheetId="2">#REF!</definedName>
    <definedName name="OTHEND" localSheetId="1">#REF!</definedName>
    <definedName name="OTHEND">#REF!</definedName>
    <definedName name="other_costs" localSheetId="2">#REF!</definedName>
    <definedName name="other_costs" localSheetId="1">#REF!</definedName>
    <definedName name="other_costs">#REF!</definedName>
    <definedName name="OTHERBUD" localSheetId="2">#REF!</definedName>
    <definedName name="OTHERBUD" localSheetId="1">#REF!</definedName>
    <definedName name="OTHERBUD">#REF!</definedName>
    <definedName name="othNYbud" localSheetId="2">#REF!</definedName>
    <definedName name="othNYbud" localSheetId="1">#REF!</definedName>
    <definedName name="othNYbud">#REF!</definedName>
    <definedName name="othPYACT" localSheetId="2">#REF!</definedName>
    <definedName name="othPYACT" localSheetId="1">#REF!</definedName>
    <definedName name="othPYACT">#REF!</definedName>
    <definedName name="OTHSTART" localSheetId="2">#REF!</definedName>
    <definedName name="OTHSTART" localSheetId="1">#REF!</definedName>
    <definedName name="OTHSTART">#REF!</definedName>
    <definedName name="PAGE11" localSheetId="2">#REF!</definedName>
    <definedName name="PAGE11" localSheetId="1">#REF!</definedName>
    <definedName name="PAGE11">#REF!</definedName>
    <definedName name="PAGE2">[2]Sheet1!$A$1:$I$40</definedName>
    <definedName name="PAGE3" localSheetId="2">#REF!</definedName>
    <definedName name="PAGE3" localSheetId="1">#REF!</definedName>
    <definedName name="PAGE3">#REF!</definedName>
    <definedName name="PAGE4" localSheetId="2">#REF!</definedName>
    <definedName name="PAGE4" localSheetId="1">#REF!</definedName>
    <definedName name="PAGE4">#REF!</definedName>
    <definedName name="PAGE7" localSheetId="2">#REF!</definedName>
    <definedName name="PAGE7" localSheetId="1">#REF!</definedName>
    <definedName name="PAGE7">#REF!</definedName>
    <definedName name="PAGE9" localSheetId="2">#REF!</definedName>
    <definedName name="PAGE9" localSheetId="1">#REF!</definedName>
    <definedName name="PAGE9">#REF!</definedName>
    <definedName name="PageOne" localSheetId="2">#REF!</definedName>
    <definedName name="PageOne" localSheetId="1">#REF!</definedName>
    <definedName name="PageOne">#REF!</definedName>
    <definedName name="ppp">[3]Refs!$B$6</definedName>
    <definedName name="PR" localSheetId="2">#REF!</definedName>
    <definedName name="PR" localSheetId="1">#REF!</definedName>
    <definedName name="PR">#REF!</definedName>
    <definedName name="_xlnm.Print_Area" localSheetId="2">'Purchased Power Model'!$C$1:$P$168</definedName>
    <definedName name="_xlnm.Print_Area" localSheetId="1">'Purchd Power Model Weather norm'!$C$1:$P$168</definedName>
    <definedName name="_xlnm.Print_Area" localSheetId="4">'Rate Class Customer Model'!$A$1:$K$41</definedName>
    <definedName name="_xlnm.Print_Area" localSheetId="3">'Rate Class Energy Model'!#REF!</definedName>
    <definedName name="_xlnm.Print_Area" localSheetId="5">'Rate Class Load Model'!$A$1:$H$30</definedName>
    <definedName name="_xlnm.Print_Area" localSheetId="0">Summary!$A$3:$M$43</definedName>
    <definedName name="Print_Area_MI" localSheetId="2">#REF!</definedName>
    <definedName name="Print_Area_MI" localSheetId="1">#REF!</definedName>
    <definedName name="Print_Area_MI">#REF!</definedName>
    <definedName name="print_end" localSheetId="2">#REF!</definedName>
    <definedName name="print_end" localSheetId="1">#REF!</definedName>
    <definedName name="print_end">#REF!</definedName>
    <definedName name="_xlnm.Print_Titles" localSheetId="2">'Purchased Power Model'!$C:$P,'Purchased Power Model'!$1:$2</definedName>
    <definedName name="_xlnm.Print_Titles" localSheetId="1">'Purchd Power Model Weather norm'!$C:$P,'Purchd Power Model Weather norm'!$1:$2</definedName>
    <definedName name="PRIOR" localSheetId="2">#REF!</definedName>
    <definedName name="PRIOR" localSheetId="1">#REF!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 localSheetId="2">#REF!</definedName>
    <definedName name="RVCASHPR" localSheetId="1">#REF!</definedName>
    <definedName name="RVCASHPR">#REF!</definedName>
    <definedName name="SALBENF" localSheetId="2">#REF!</definedName>
    <definedName name="SALBENF" localSheetId="1">#REF!</definedName>
    <definedName name="SALBENF">#REF!</definedName>
    <definedName name="salreg" localSheetId="2">#REF!</definedName>
    <definedName name="salreg" localSheetId="1">#REF!</definedName>
    <definedName name="salreg">#REF!</definedName>
    <definedName name="SALREGF" localSheetId="2">#REF!</definedName>
    <definedName name="SALREGF" localSheetId="1">#REF!</definedName>
    <definedName name="SALREGF">#REF!</definedName>
    <definedName name="SOURCEAPP" localSheetId="2">#REF!</definedName>
    <definedName name="SOURCEAPP" localSheetId="1">#REF!</definedName>
    <definedName name="SOURCEAPP">#REF!</definedName>
    <definedName name="STATS1" localSheetId="2">#REF!</definedName>
    <definedName name="STATS1" localSheetId="1">#REF!</definedName>
    <definedName name="STATS1">#REF!</definedName>
    <definedName name="STATS2" localSheetId="2">#REF!</definedName>
    <definedName name="STATS2" localSheetId="1">#REF!</definedName>
    <definedName name="STATS2">#REF!</definedName>
    <definedName name="Surtax" localSheetId="2">#REF!</definedName>
    <definedName name="Surtax" localSheetId="1">#REF!</definedName>
    <definedName name="Surtax">#REF!</definedName>
    <definedName name="TEMPA" localSheetId="2">#REF!</definedName>
    <definedName name="TEMPA" localSheetId="1">#REF!</definedName>
    <definedName name="TEMPA">#REF!</definedName>
    <definedName name="TestYr">'[4]A1.Admin'!$C$13</definedName>
    <definedName name="TestYrPL">'[8]Revenue Requirement'!$B$10</definedName>
    <definedName name="total_dept" localSheetId="2">#REF!</definedName>
    <definedName name="total_dept" localSheetId="1">#REF!</definedName>
    <definedName name="total_dept">#REF!</definedName>
    <definedName name="total_manpower" localSheetId="2">#REF!</definedName>
    <definedName name="total_manpower" localSheetId="1">#REF!</definedName>
    <definedName name="total_manpower">#REF!</definedName>
    <definedName name="total_material" localSheetId="2">#REF!</definedName>
    <definedName name="total_material" localSheetId="1">#REF!</definedName>
    <definedName name="total_material">#REF!</definedName>
    <definedName name="total_other" localSheetId="2">#REF!</definedName>
    <definedName name="total_other" localSheetId="1">#REF!</definedName>
    <definedName name="total_other">#REF!</definedName>
    <definedName name="total_transportation" localSheetId="2">#REF!</definedName>
    <definedName name="total_transportation" localSheetId="1">#REF!</definedName>
    <definedName name="total_transportation">#REF!</definedName>
    <definedName name="TOTCAPADDITIONS" localSheetId="2">#REF!</definedName>
    <definedName name="TOTCAPADDITIONS" localSheetId="1">#REF!</definedName>
    <definedName name="TOTCAPADDITIONS">#REF!</definedName>
    <definedName name="TRANBUD" localSheetId="2">#REF!</definedName>
    <definedName name="TRANBUD" localSheetId="1">#REF!</definedName>
    <definedName name="TRANBUD">#REF!</definedName>
    <definedName name="TRANEND" localSheetId="2">#REF!</definedName>
    <definedName name="TRANEND" localSheetId="1">#REF!</definedName>
    <definedName name="TRANEND">#REF!</definedName>
    <definedName name="TRANSCAP" localSheetId="2">#REF!</definedName>
    <definedName name="TRANSCAP" localSheetId="1">#REF!</definedName>
    <definedName name="TRANSCAP">#REF!</definedName>
    <definedName name="TRANSFER" localSheetId="2">#REF!</definedName>
    <definedName name="TRANSFER" localSheetId="1">#REF!</definedName>
    <definedName name="TRANSFER">#REF!</definedName>
    <definedName name="transportation_costs" localSheetId="2">#REF!</definedName>
    <definedName name="transportation_costs" localSheetId="1">#REF!</definedName>
    <definedName name="transportation_costs">#REF!</definedName>
    <definedName name="TRANSTART" localSheetId="2">#REF!</definedName>
    <definedName name="TRANSTART" localSheetId="1">#REF!</definedName>
    <definedName name="TRANSTART">#REF!</definedName>
    <definedName name="trn_beg_bud" localSheetId="2">#REF!</definedName>
    <definedName name="trn_beg_bud" localSheetId="1">#REF!</definedName>
    <definedName name="trn_beg_bud">#REF!</definedName>
    <definedName name="trn_end_bud" localSheetId="2">#REF!</definedName>
    <definedName name="trn_end_bud" localSheetId="1">#REF!</definedName>
    <definedName name="trn_end_bud">#REF!</definedName>
    <definedName name="trn12ACT" localSheetId="2">#REF!</definedName>
    <definedName name="trn12ACT" localSheetId="1">#REF!</definedName>
    <definedName name="trn12ACT">#REF!</definedName>
    <definedName name="trnCYACT" localSheetId="2">#REF!</definedName>
    <definedName name="trnCYACT" localSheetId="1">#REF!</definedName>
    <definedName name="trnCYACT">#REF!</definedName>
    <definedName name="trnCYBUD" localSheetId="2">#REF!</definedName>
    <definedName name="trnCYBUD" localSheetId="1">#REF!</definedName>
    <definedName name="trnCYBUD">#REF!</definedName>
    <definedName name="trnCYF" localSheetId="2">#REF!</definedName>
    <definedName name="trnCYF" localSheetId="1">#REF!</definedName>
    <definedName name="trnCYF">#REF!</definedName>
    <definedName name="trnNYbud" localSheetId="2">#REF!</definedName>
    <definedName name="trnNYbud" localSheetId="1">#REF!</definedName>
    <definedName name="trnNYbud">#REF!</definedName>
    <definedName name="trnPYACT" localSheetId="2">#REF!</definedName>
    <definedName name="trnPYACT" localSheetId="1">#REF!</definedName>
    <definedName name="trnPYACT">#REF!</definedName>
    <definedName name="Utility">[7]Financials!$A$1</definedName>
    <definedName name="utitliy1">[9]Financials!$A$1</definedName>
    <definedName name="Uuu">[3]Refs!$B$5</definedName>
    <definedName name="Variable1">Summaries!#REF!</definedName>
    <definedName name="WAGBENF" localSheetId="2">#REF!</definedName>
    <definedName name="WAGBENF" localSheetId="1">#REF!</definedName>
    <definedName name="WAGBENF">#REF!</definedName>
    <definedName name="wagdob" localSheetId="2">#REF!</definedName>
    <definedName name="wagdob" localSheetId="1">#REF!</definedName>
    <definedName name="wagdob">#REF!</definedName>
    <definedName name="wagdobf" localSheetId="2">#REF!</definedName>
    <definedName name="wagdobf" localSheetId="1">#REF!</definedName>
    <definedName name="wagdobf">#REF!</definedName>
    <definedName name="wagreg" localSheetId="2">#REF!</definedName>
    <definedName name="wagreg" localSheetId="1">#REF!</definedName>
    <definedName name="wagreg">#REF!</definedName>
    <definedName name="wagregf" localSheetId="2">#REF!</definedName>
    <definedName name="wagregf" localSheetId="1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74" l="1"/>
  <c r="N5" i="74"/>
  <c r="N6" i="74"/>
  <c r="N7" i="74"/>
  <c r="N8" i="74"/>
  <c r="N9" i="74"/>
  <c r="N10" i="74"/>
  <c r="N11" i="74"/>
  <c r="N12" i="74"/>
  <c r="N13" i="74"/>
  <c r="N14" i="74"/>
  <c r="N15" i="74"/>
  <c r="N16" i="74"/>
  <c r="N17" i="74"/>
  <c r="N18" i="74"/>
  <c r="N19" i="74"/>
  <c r="N20" i="74"/>
  <c r="N21" i="74"/>
  <c r="N22" i="74"/>
  <c r="N23" i="74"/>
  <c r="N24" i="74"/>
  <c r="N25" i="74"/>
  <c r="N26" i="74"/>
  <c r="N27" i="74"/>
  <c r="N28" i="74"/>
  <c r="N29" i="74"/>
  <c r="N30" i="74"/>
  <c r="N31" i="74"/>
  <c r="N32" i="74"/>
  <c r="N33" i="74"/>
  <c r="N34" i="74"/>
  <c r="N35" i="74"/>
  <c r="N36" i="74"/>
  <c r="N37" i="74"/>
  <c r="N38" i="74"/>
  <c r="N39" i="74"/>
  <c r="N40" i="74"/>
  <c r="N41" i="74"/>
  <c r="N42" i="74"/>
  <c r="N43" i="74"/>
  <c r="N44" i="74"/>
  <c r="N45" i="74"/>
  <c r="N46" i="74"/>
  <c r="N47" i="74"/>
  <c r="N48" i="74"/>
  <c r="N49" i="74"/>
  <c r="N50" i="74"/>
  <c r="N51" i="74"/>
  <c r="N52" i="74"/>
  <c r="N53" i="74"/>
  <c r="N54" i="74"/>
  <c r="N55" i="74"/>
  <c r="N56" i="74"/>
  <c r="N57" i="74"/>
  <c r="N58" i="74"/>
  <c r="N59" i="74"/>
  <c r="N60" i="74"/>
  <c r="N61" i="74"/>
  <c r="N62" i="74"/>
  <c r="N63" i="74"/>
  <c r="N64" i="74"/>
  <c r="N65" i="74"/>
  <c r="N66" i="74"/>
  <c r="N67" i="74"/>
  <c r="N68" i="74"/>
  <c r="N69" i="74"/>
  <c r="N70" i="74"/>
  <c r="N71" i="74"/>
  <c r="N72" i="74"/>
  <c r="N73" i="74"/>
  <c r="N74" i="74"/>
  <c r="N75" i="74"/>
  <c r="N76" i="74"/>
  <c r="N77" i="74"/>
  <c r="N78" i="74"/>
  <c r="N79" i="74"/>
  <c r="N80" i="74"/>
  <c r="N81" i="74"/>
  <c r="N82" i="74"/>
  <c r="N83" i="74"/>
  <c r="N84" i="74"/>
  <c r="N85" i="74"/>
  <c r="N86" i="74"/>
  <c r="N87" i="74"/>
  <c r="N88" i="74"/>
  <c r="N89" i="74"/>
  <c r="N90" i="74"/>
  <c r="N91" i="74"/>
  <c r="N92" i="74"/>
  <c r="N93" i="74"/>
  <c r="N94" i="74"/>
  <c r="N95" i="74"/>
  <c r="N96" i="74"/>
  <c r="N97" i="74"/>
  <c r="N98" i="74"/>
  <c r="N99" i="74"/>
  <c r="N100" i="74"/>
  <c r="N101" i="74"/>
  <c r="N102" i="74"/>
  <c r="N103" i="74"/>
  <c r="N104" i="74"/>
  <c r="N105" i="74"/>
  <c r="N106" i="74"/>
  <c r="N107" i="74"/>
  <c r="N108" i="74"/>
  <c r="N109" i="74"/>
  <c r="N110" i="74"/>
  <c r="N111" i="74"/>
  <c r="N112" i="74"/>
  <c r="N113" i="74"/>
  <c r="N114" i="74"/>
  <c r="N115" i="74"/>
  <c r="N116" i="74"/>
  <c r="N117" i="74"/>
  <c r="N118" i="74"/>
  <c r="N119" i="74"/>
  <c r="N120" i="74"/>
  <c r="N121" i="74"/>
  <c r="N122" i="74"/>
  <c r="N123" i="74"/>
  <c r="N124" i="74"/>
  <c r="N125" i="74"/>
  <c r="N126" i="74"/>
  <c r="N127" i="74"/>
  <c r="N128" i="74"/>
  <c r="N129" i="74"/>
  <c r="N130" i="74"/>
  <c r="N131" i="74"/>
  <c r="N132" i="74"/>
  <c r="N133" i="74"/>
  <c r="N134" i="74"/>
  <c r="N135" i="74"/>
  <c r="N136" i="74"/>
  <c r="N137" i="74"/>
  <c r="N138" i="74"/>
  <c r="N139" i="74"/>
  <c r="N140" i="74"/>
  <c r="N141" i="74"/>
  <c r="N142" i="74"/>
  <c r="N143" i="74"/>
  <c r="N144" i="74"/>
  <c r="N145" i="74"/>
  <c r="N146" i="74"/>
  <c r="N3" i="74"/>
  <c r="N3" i="73"/>
  <c r="N4" i="73"/>
  <c r="N5" i="73"/>
  <c r="N6" i="73"/>
  <c r="N7" i="73"/>
  <c r="N8" i="73"/>
  <c r="N9" i="73"/>
  <c r="N10" i="73"/>
  <c r="N11" i="73"/>
  <c r="N12" i="73"/>
  <c r="N13" i="73"/>
  <c r="N14" i="73"/>
  <c r="N15" i="73"/>
  <c r="N16" i="73"/>
  <c r="N17" i="73"/>
  <c r="N18" i="73"/>
  <c r="N19" i="73"/>
  <c r="N20" i="73"/>
  <c r="N21" i="73"/>
  <c r="N22" i="73"/>
  <c r="N23" i="73"/>
  <c r="N24" i="73"/>
  <c r="N25" i="73"/>
  <c r="N26" i="73"/>
  <c r="N27" i="73"/>
  <c r="N28" i="73"/>
  <c r="N29" i="73"/>
  <c r="N30" i="73"/>
  <c r="N31" i="73"/>
  <c r="N32" i="73"/>
  <c r="N33" i="73"/>
  <c r="N34" i="73"/>
  <c r="N35" i="73"/>
  <c r="N36" i="73"/>
  <c r="N37" i="73"/>
  <c r="N38" i="73"/>
  <c r="N39" i="73"/>
  <c r="N40" i="73"/>
  <c r="N41" i="73"/>
  <c r="N42" i="73"/>
  <c r="N43" i="73"/>
  <c r="N44" i="73"/>
  <c r="N45" i="73"/>
  <c r="N46" i="73"/>
  <c r="N47" i="73"/>
  <c r="N48" i="73"/>
  <c r="N49" i="73"/>
  <c r="N50" i="73"/>
  <c r="N51" i="73"/>
  <c r="N52" i="73"/>
  <c r="N53" i="73"/>
  <c r="N54" i="73"/>
  <c r="N55" i="73"/>
  <c r="N56" i="73"/>
  <c r="N57" i="73"/>
  <c r="N58" i="73"/>
  <c r="N59" i="73"/>
  <c r="N60" i="73"/>
  <c r="N61" i="73"/>
  <c r="N62" i="73"/>
  <c r="N63" i="73"/>
  <c r="N64" i="73"/>
  <c r="N65" i="73"/>
  <c r="N66" i="73"/>
  <c r="N67" i="73"/>
  <c r="N68" i="73"/>
  <c r="N69" i="73"/>
  <c r="N70" i="73"/>
  <c r="N71" i="73"/>
  <c r="N72" i="73"/>
  <c r="N73" i="73"/>
  <c r="N74" i="73"/>
  <c r="N75" i="73"/>
  <c r="N76" i="73"/>
  <c r="N77" i="73"/>
  <c r="N78" i="73"/>
  <c r="N79" i="73"/>
  <c r="N80" i="73"/>
  <c r="N81" i="73"/>
  <c r="N82" i="73"/>
  <c r="N83" i="73"/>
  <c r="N84" i="73"/>
  <c r="N85" i="73"/>
  <c r="N86" i="73"/>
  <c r="N87" i="73"/>
  <c r="N88" i="73"/>
  <c r="N89" i="73"/>
  <c r="N90" i="73"/>
  <c r="N91" i="73"/>
  <c r="N92" i="73"/>
  <c r="N93" i="73"/>
  <c r="N94" i="73"/>
  <c r="N95" i="73"/>
  <c r="N96" i="73"/>
  <c r="N97" i="73"/>
  <c r="N98" i="73"/>
  <c r="N99" i="73"/>
  <c r="N100" i="73"/>
  <c r="N101" i="73"/>
  <c r="N102" i="73"/>
  <c r="N103" i="73"/>
  <c r="N104" i="73"/>
  <c r="N105" i="73"/>
  <c r="N106" i="73"/>
  <c r="N107" i="73"/>
  <c r="N108" i="73"/>
  <c r="N109" i="73"/>
  <c r="N110" i="73"/>
  <c r="N111" i="73"/>
  <c r="N112" i="73"/>
  <c r="N113" i="73"/>
  <c r="N114" i="73"/>
  <c r="N115" i="73"/>
  <c r="N116" i="73"/>
  <c r="N117" i="73"/>
  <c r="N118" i="73"/>
  <c r="N119" i="73"/>
  <c r="N120" i="73"/>
  <c r="N121" i="73"/>
  <c r="N122" i="73"/>
  <c r="N123" i="73"/>
  <c r="N124" i="73"/>
  <c r="N125" i="73"/>
  <c r="N126" i="73"/>
  <c r="N127" i="73"/>
  <c r="N128" i="73"/>
  <c r="N129" i="73"/>
  <c r="N130" i="73"/>
  <c r="N131" i="73"/>
  <c r="N132" i="73"/>
  <c r="N133" i="73"/>
  <c r="N134" i="73"/>
  <c r="N135" i="73"/>
  <c r="N136" i="73"/>
  <c r="N137" i="73"/>
  <c r="N138" i="73"/>
  <c r="N139" i="73"/>
  <c r="N140" i="73"/>
  <c r="N141" i="73"/>
  <c r="N142" i="73"/>
  <c r="N143" i="73"/>
  <c r="N144" i="73"/>
  <c r="N145" i="73"/>
  <c r="N146" i="73"/>
  <c r="B30" i="18" l="1"/>
  <c r="I47" i="9"/>
  <c r="J47" i="9"/>
  <c r="K47" i="9"/>
  <c r="L47" i="9"/>
  <c r="M47" i="9"/>
  <c r="H47" i="9"/>
  <c r="H52" i="9"/>
  <c r="I52" i="9" s="1"/>
  <c r="G50" i="9"/>
  <c r="A50" i="9"/>
  <c r="A53" i="9" s="1"/>
  <c r="A56" i="9" s="1"/>
  <c r="D32" i="18" l="1" a="1"/>
  <c r="D32" i="18" s="1"/>
  <c r="C32" i="18"/>
  <c r="B32" i="18"/>
  <c r="M13" i="9"/>
  <c r="M44" i="9" s="1"/>
  <c r="D708" i="60" s="1"/>
  <c r="L13" i="9"/>
  <c r="L44" i="9" s="1"/>
  <c r="D707" i="60" s="1"/>
  <c r="K13" i="9"/>
  <c r="K44" i="9" s="1"/>
  <c r="D706" i="60" s="1"/>
  <c r="J13" i="9"/>
  <c r="J44" i="9" s="1"/>
  <c r="D705" i="60" s="1"/>
  <c r="I13" i="9"/>
  <c r="I44" i="9" s="1"/>
  <c r="D704" i="60" s="1"/>
  <c r="H13" i="9"/>
  <c r="H44" i="9" s="1"/>
  <c r="D703" i="60" s="1"/>
  <c r="D26" i="18"/>
  <c r="C26" i="18"/>
  <c r="B26" i="18"/>
  <c r="G13" i="9" l="1"/>
  <c r="M123" i="73" l="1"/>
  <c r="M124" i="73"/>
  <c r="M125" i="73"/>
  <c r="M126" i="73"/>
  <c r="M127" i="73"/>
  <c r="M128" i="73"/>
  <c r="M129" i="73"/>
  <c r="M130" i="73"/>
  <c r="M131" i="73"/>
  <c r="M132" i="73"/>
  <c r="M133" i="73"/>
  <c r="M134" i="73"/>
  <c r="M135" i="73"/>
  <c r="M136" i="73"/>
  <c r="M137" i="73"/>
  <c r="M138" i="73"/>
  <c r="M139" i="73"/>
  <c r="M140" i="73"/>
  <c r="M141" i="73"/>
  <c r="M142" i="73"/>
  <c r="M143" i="73"/>
  <c r="M144" i="73"/>
  <c r="M145" i="73"/>
  <c r="M146" i="73"/>
  <c r="M122" i="74" l="1"/>
  <c r="M123" i="74"/>
  <c r="M124" i="74"/>
  <c r="M125" i="74"/>
  <c r="M126" i="74"/>
  <c r="M127" i="74"/>
  <c r="M128" i="74"/>
  <c r="M129" i="74"/>
  <c r="M130" i="74"/>
  <c r="M131" i="74"/>
  <c r="M132" i="74"/>
  <c r="M133" i="74"/>
  <c r="M134" i="74"/>
  <c r="M135" i="74"/>
  <c r="M136" i="74"/>
  <c r="M137" i="74"/>
  <c r="M138" i="74"/>
  <c r="M139" i="74"/>
  <c r="M140" i="74"/>
  <c r="M141" i="74"/>
  <c r="M142" i="74"/>
  <c r="M143" i="74"/>
  <c r="M144" i="74"/>
  <c r="M145" i="74"/>
  <c r="M146" i="74"/>
  <c r="D123" i="74"/>
  <c r="D124" i="74"/>
  <c r="D125" i="74"/>
  <c r="D126" i="74"/>
  <c r="D127" i="74"/>
  <c r="D128" i="74"/>
  <c r="D129" i="74"/>
  <c r="D130" i="74"/>
  <c r="D131" i="74"/>
  <c r="E124" i="73" l="1"/>
  <c r="F124" i="73"/>
  <c r="E125" i="73"/>
  <c r="F125" i="73"/>
  <c r="E126" i="73"/>
  <c r="F126" i="73"/>
  <c r="E127" i="73"/>
  <c r="F127" i="73"/>
  <c r="E128" i="73"/>
  <c r="F128" i="73"/>
  <c r="E129" i="73"/>
  <c r="F129" i="73"/>
  <c r="E130" i="73"/>
  <c r="F130" i="73"/>
  <c r="E131" i="73"/>
  <c r="F131" i="73"/>
  <c r="E132" i="73"/>
  <c r="F132" i="73"/>
  <c r="E133" i="73"/>
  <c r="F133" i="73"/>
  <c r="E134" i="73"/>
  <c r="F134" i="73"/>
  <c r="E135" i="73"/>
  <c r="F135" i="73"/>
  <c r="E136" i="73"/>
  <c r="F136" i="73"/>
  <c r="E137" i="73"/>
  <c r="F137" i="73"/>
  <c r="E138" i="73"/>
  <c r="F138" i="73"/>
  <c r="E139" i="73"/>
  <c r="F139" i="73"/>
  <c r="E140" i="73"/>
  <c r="F140" i="73"/>
  <c r="E141" i="73"/>
  <c r="F141" i="73"/>
  <c r="E142" i="73"/>
  <c r="F142" i="73"/>
  <c r="E143" i="73"/>
  <c r="F143" i="73"/>
  <c r="E144" i="73"/>
  <c r="F144" i="73"/>
  <c r="E145" i="73"/>
  <c r="F145" i="73"/>
  <c r="E146" i="73"/>
  <c r="F146" i="73"/>
  <c r="F123" i="73"/>
  <c r="E123" i="73"/>
  <c r="M122" i="73"/>
  <c r="D123" i="73"/>
  <c r="D124" i="73"/>
  <c r="D125" i="73"/>
  <c r="D126" i="73"/>
  <c r="D127" i="73"/>
  <c r="D128" i="73"/>
  <c r="D129" i="73"/>
  <c r="D130" i="73"/>
  <c r="D131" i="73"/>
  <c r="B22" i="17"/>
  <c r="C35" i="17"/>
  <c r="D35" i="17"/>
  <c r="E35" i="17"/>
  <c r="F35" i="17"/>
  <c r="G35" i="17"/>
  <c r="C39" i="17"/>
  <c r="D39" i="17"/>
  <c r="E39" i="17"/>
  <c r="F39" i="17"/>
  <c r="G39" i="17"/>
  <c r="B39" i="17"/>
  <c r="B21" i="17" l="1"/>
  <c r="B35" i="17" s="1"/>
  <c r="C21" i="17"/>
  <c r="D21" i="17"/>
  <c r="E21" i="17"/>
  <c r="F21" i="17"/>
  <c r="G21" i="17"/>
  <c r="B57" i="17"/>
  <c r="E145" i="61" l="1"/>
  <c r="F145" i="61"/>
  <c r="E146" i="61"/>
  <c r="F146" i="61"/>
  <c r="F144" i="61"/>
  <c r="E144" i="61"/>
  <c r="E133" i="61"/>
  <c r="F133" i="61"/>
  <c r="E134" i="61"/>
  <c r="F134" i="61"/>
  <c r="E135" i="61"/>
  <c r="F135" i="61"/>
  <c r="E136" i="61"/>
  <c r="F136" i="61"/>
  <c r="E137" i="61"/>
  <c r="F137" i="61"/>
  <c r="E138" i="61"/>
  <c r="F138" i="61"/>
  <c r="E139" i="61"/>
  <c r="F139" i="61"/>
  <c r="E140" i="61"/>
  <c r="F140" i="61"/>
  <c r="E141" i="61"/>
  <c r="F141" i="61"/>
  <c r="E142" i="61"/>
  <c r="F142" i="61"/>
  <c r="E143" i="61"/>
  <c r="F143" i="61"/>
  <c r="E132" i="61"/>
  <c r="F132" i="61"/>
  <c r="B53" i="17"/>
  <c r="C53" i="17"/>
  <c r="D53" i="17"/>
  <c r="E53" i="17"/>
  <c r="F53" i="17"/>
  <c r="G53" i="17"/>
  <c r="B54" i="17"/>
  <c r="C54" i="17"/>
  <c r="D54" i="17"/>
  <c r="E54" i="17"/>
  <c r="F54" i="17"/>
  <c r="G54" i="17"/>
  <c r="B55" i="17"/>
  <c r="C55" i="17"/>
  <c r="D55" i="17"/>
  <c r="E55" i="17"/>
  <c r="F55" i="17"/>
  <c r="G55" i="17"/>
  <c r="B44" i="17" l="1"/>
  <c r="C44" i="17"/>
  <c r="D44" i="17"/>
  <c r="E44" i="17"/>
  <c r="F44" i="17"/>
  <c r="G44" i="17"/>
  <c r="G57" i="17" s="1"/>
  <c r="B45" i="17"/>
  <c r="C45" i="17"/>
  <c r="D45" i="17"/>
  <c r="E45" i="17"/>
  <c r="F45" i="17"/>
  <c r="G45" i="17"/>
  <c r="B46" i="17"/>
  <c r="C46" i="17"/>
  <c r="D46" i="17"/>
  <c r="E46" i="17"/>
  <c r="F46" i="17"/>
  <c r="G46" i="17"/>
  <c r="B47" i="17"/>
  <c r="C47" i="17"/>
  <c r="D47" i="17"/>
  <c r="E47" i="17"/>
  <c r="F47" i="17"/>
  <c r="G47" i="17"/>
  <c r="B48" i="17"/>
  <c r="C48" i="17"/>
  <c r="D48" i="17"/>
  <c r="E48" i="17"/>
  <c r="F48" i="17"/>
  <c r="G48" i="17"/>
  <c r="B49" i="17"/>
  <c r="C49" i="17"/>
  <c r="D49" i="17"/>
  <c r="E49" i="17"/>
  <c r="F49" i="17"/>
  <c r="G49" i="17"/>
  <c r="B50" i="17"/>
  <c r="C50" i="17"/>
  <c r="D50" i="17"/>
  <c r="E50" i="17"/>
  <c r="F50" i="17"/>
  <c r="G50" i="17"/>
  <c r="B51" i="17"/>
  <c r="C51" i="17"/>
  <c r="D51" i="17"/>
  <c r="E51" i="17"/>
  <c r="F51" i="17"/>
  <c r="G51" i="17"/>
  <c r="B52" i="17"/>
  <c r="C52" i="17"/>
  <c r="D52" i="17"/>
  <c r="E52" i="17"/>
  <c r="F52" i="17"/>
  <c r="G52" i="17"/>
  <c r="F57" i="17" l="1"/>
  <c r="C57" i="17"/>
  <c r="E57" i="17"/>
  <c r="D57" i="17"/>
  <c r="D7" i="75" l="1"/>
  <c r="E690" i="60" l="1"/>
  <c r="F690" i="60" s="1"/>
  <c r="E691" i="60"/>
  <c r="F691" i="60" s="1"/>
  <c r="E692" i="60"/>
  <c r="F692" i="60" s="1"/>
  <c r="E693" i="60"/>
  <c r="F693" i="60" s="1"/>
  <c r="E694" i="60"/>
  <c r="F694" i="60" s="1"/>
  <c r="E695" i="60"/>
  <c r="F695" i="60" s="1"/>
  <c r="E696" i="60"/>
  <c r="F696" i="60" s="1"/>
  <c r="E697" i="60"/>
  <c r="F697" i="60" s="1"/>
  <c r="F698" i="60" s="1"/>
  <c r="F699" i="60" s="1"/>
  <c r="E698" i="60"/>
  <c r="E699" i="60"/>
  <c r="E689" i="60"/>
  <c r="F689" i="60" s="1"/>
  <c r="E688" i="60"/>
  <c r="F688" i="60" s="1"/>
  <c r="C689" i="60" l="1"/>
  <c r="D689" i="60" s="1"/>
  <c r="C692" i="60"/>
  <c r="D692" i="60" s="1"/>
  <c r="C696" i="60"/>
  <c r="D696" i="60" s="1"/>
  <c r="C694" i="60"/>
  <c r="D694" i="60" s="1"/>
  <c r="C690" i="60"/>
  <c r="D690" i="60" s="1"/>
  <c r="C693" i="60"/>
  <c r="D693" i="60" s="1"/>
  <c r="C698" i="60"/>
  <c r="D698" i="60" s="1"/>
  <c r="C695" i="60"/>
  <c r="D695" i="60" s="1"/>
  <c r="C697" i="60"/>
  <c r="D697" i="60" s="1"/>
  <c r="C699" i="60"/>
  <c r="D699" i="60" s="1"/>
  <c r="C691" i="60"/>
  <c r="D691" i="60" s="1"/>
  <c r="D684" i="60" l="1"/>
  <c r="F684" i="60" s="1"/>
  <c r="C684" i="60"/>
  <c r="D683" i="60"/>
  <c r="F683" i="60" s="1"/>
  <c r="C683" i="60"/>
  <c r="D682" i="60"/>
  <c r="F682" i="60" s="1"/>
  <c r="C682" i="60"/>
  <c r="E684" i="60" l="1"/>
  <c r="E683" i="60"/>
  <c r="E682" i="60"/>
  <c r="C653" i="60" l="1"/>
  <c r="B638" i="60" l="1"/>
  <c r="B639" i="60" s="1"/>
  <c r="B640" i="60" s="1"/>
  <c r="B641" i="60" s="1"/>
  <c r="B642" i="60" s="1"/>
  <c r="B643" i="60" s="1"/>
  <c r="B644" i="60" s="1"/>
  <c r="B645" i="60" s="1"/>
  <c r="B646" i="60" s="1"/>
  <c r="K22" i="75"/>
  <c r="E632" i="60"/>
  <c r="B632" i="60"/>
  <c r="B656" i="60" s="1"/>
  <c r="E631" i="60"/>
  <c r="B631" i="60"/>
  <c r="B655" i="60" s="1"/>
  <c r="E630" i="60"/>
  <c r="B630" i="60"/>
  <c r="B654" i="60" s="1"/>
  <c r="E629" i="60"/>
  <c r="B629" i="60"/>
  <c r="B653" i="60" s="1"/>
  <c r="E628" i="60"/>
  <c r="B628" i="60"/>
  <c r="B652" i="60" s="1"/>
  <c r="E627" i="60"/>
  <c r="B627" i="60"/>
  <c r="B651" i="60" s="1"/>
  <c r="I626" i="60"/>
  <c r="K626" i="60" s="1"/>
  <c r="M626" i="60" s="1"/>
  <c r="H626" i="60"/>
  <c r="J626" i="60" s="1"/>
  <c r="L626" i="60" s="1"/>
  <c r="G619" i="60"/>
  <c r="I619" i="60" s="1"/>
  <c r="K619" i="60" s="1"/>
  <c r="M619" i="60" s="1"/>
  <c r="F619" i="60"/>
  <c r="H619" i="60" s="1"/>
  <c r="J619" i="60" s="1"/>
  <c r="L619" i="60" s="1"/>
  <c r="B616" i="60"/>
  <c r="E614" i="60"/>
  <c r="B614" i="60"/>
  <c r="E613" i="60"/>
  <c r="B613" i="60"/>
  <c r="E612" i="60"/>
  <c r="B612" i="60"/>
  <c r="E611" i="60"/>
  <c r="B611" i="60"/>
  <c r="E610" i="60"/>
  <c r="B610" i="60"/>
  <c r="E609" i="60"/>
  <c r="B609" i="60"/>
  <c r="I608" i="60"/>
  <c r="K608" i="60" s="1"/>
  <c r="M608" i="60" s="1"/>
  <c r="H608" i="60"/>
  <c r="J608" i="60" s="1"/>
  <c r="L608" i="60" s="1"/>
  <c r="G601" i="60"/>
  <c r="I601" i="60" s="1"/>
  <c r="K601" i="60" s="1"/>
  <c r="M601" i="60" s="1"/>
  <c r="F601" i="60"/>
  <c r="H601" i="60" s="1"/>
  <c r="J601" i="60" s="1"/>
  <c r="L601" i="60" s="1"/>
  <c r="B598" i="60"/>
  <c r="B672" i="60" l="1"/>
  <c r="B682" i="60" s="1"/>
  <c r="B706" i="60" s="1"/>
  <c r="B715" i="60" s="1"/>
  <c r="B722" i="60" s="1"/>
  <c r="B663" i="60"/>
  <c r="B673" i="60"/>
  <c r="B683" i="60" s="1"/>
  <c r="B707" i="60" s="1"/>
  <c r="B716" i="60" s="1"/>
  <c r="B723" i="60" s="1"/>
  <c r="B664" i="60"/>
  <c r="B669" i="60"/>
  <c r="B679" i="60" s="1"/>
  <c r="B703" i="60" s="1"/>
  <c r="B712" i="60" s="1"/>
  <c r="B660" i="60"/>
  <c r="B670" i="60"/>
  <c r="B680" i="60" s="1"/>
  <c r="B704" i="60" s="1"/>
  <c r="B713" i="60" s="1"/>
  <c r="B661" i="60"/>
  <c r="B674" i="60"/>
  <c r="B684" i="60" s="1"/>
  <c r="B708" i="60" s="1"/>
  <c r="B717" i="60" s="1"/>
  <c r="B665" i="60"/>
  <c r="B671" i="60"/>
  <c r="B681" i="60" s="1"/>
  <c r="B705" i="60" s="1"/>
  <c r="B714" i="60" s="1"/>
  <c r="B721" i="60" s="1"/>
  <c r="B662" i="60"/>
  <c r="E596" i="60"/>
  <c r="B596" i="60"/>
  <c r="E595" i="60"/>
  <c r="B595" i="60"/>
  <c r="E594" i="60"/>
  <c r="B594" i="60"/>
  <c r="E593" i="60"/>
  <c r="B593" i="60"/>
  <c r="E592" i="60"/>
  <c r="B592" i="60"/>
  <c r="E591" i="60"/>
  <c r="B591" i="60"/>
  <c r="I590" i="60"/>
  <c r="K590" i="60" s="1"/>
  <c r="M590" i="60" s="1"/>
  <c r="H590" i="60"/>
  <c r="J590" i="60" s="1"/>
  <c r="L590" i="60" s="1"/>
  <c r="G583" i="60"/>
  <c r="I583" i="60" s="1"/>
  <c r="K583" i="60" s="1"/>
  <c r="M583" i="60" s="1"/>
  <c r="F583" i="60"/>
  <c r="H583" i="60" s="1"/>
  <c r="J583" i="60" s="1"/>
  <c r="L583" i="60" s="1"/>
  <c r="B580" i="60"/>
  <c r="E578" i="60"/>
  <c r="B578" i="60"/>
  <c r="E577" i="60"/>
  <c r="B577" i="60"/>
  <c r="E576" i="60"/>
  <c r="B576" i="60"/>
  <c r="E575" i="60"/>
  <c r="B575" i="60"/>
  <c r="E574" i="60"/>
  <c r="B574" i="60"/>
  <c r="E573" i="60"/>
  <c r="B573" i="60"/>
  <c r="I572" i="60"/>
  <c r="K572" i="60" s="1"/>
  <c r="M572" i="60" s="1"/>
  <c r="H572" i="60"/>
  <c r="J572" i="60" s="1"/>
  <c r="L572" i="60" s="1"/>
  <c r="G565" i="60"/>
  <c r="I565" i="60" s="1"/>
  <c r="K565" i="60" s="1"/>
  <c r="M565" i="60" s="1"/>
  <c r="F565" i="60"/>
  <c r="H565" i="60" s="1"/>
  <c r="J565" i="60" s="1"/>
  <c r="L565" i="60" s="1"/>
  <c r="B562" i="60"/>
  <c r="E560" i="60"/>
  <c r="B560" i="60"/>
  <c r="E559" i="60"/>
  <c r="B559" i="60"/>
  <c r="E558" i="60"/>
  <c r="B558" i="60"/>
  <c r="E557" i="60"/>
  <c r="B557" i="60"/>
  <c r="E556" i="60"/>
  <c r="B556" i="60"/>
  <c r="E555" i="60"/>
  <c r="B555" i="60"/>
  <c r="I554" i="60"/>
  <c r="K554" i="60" s="1"/>
  <c r="M554" i="60" s="1"/>
  <c r="H554" i="60"/>
  <c r="J554" i="60" s="1"/>
  <c r="L554" i="60" s="1"/>
  <c r="G547" i="60"/>
  <c r="I547" i="60" s="1"/>
  <c r="K547" i="60" s="1"/>
  <c r="M547" i="60" s="1"/>
  <c r="F547" i="60"/>
  <c r="H547" i="60" s="1"/>
  <c r="J547" i="60" s="1"/>
  <c r="L547" i="60" s="1"/>
  <c r="B544" i="60"/>
  <c r="E542" i="60"/>
  <c r="B542" i="60"/>
  <c r="E541" i="60"/>
  <c r="B541" i="60"/>
  <c r="E540" i="60"/>
  <c r="B540" i="60"/>
  <c r="E539" i="60"/>
  <c r="B539" i="60"/>
  <c r="E538" i="60"/>
  <c r="B538" i="60"/>
  <c r="E537" i="60"/>
  <c r="B537" i="60"/>
  <c r="I536" i="60"/>
  <c r="K536" i="60" s="1"/>
  <c r="M536" i="60" s="1"/>
  <c r="H536" i="60"/>
  <c r="J536" i="60" s="1"/>
  <c r="L536" i="60" s="1"/>
  <c r="G529" i="60"/>
  <c r="I529" i="60" s="1"/>
  <c r="K529" i="60" s="1"/>
  <c r="M529" i="60" s="1"/>
  <c r="F529" i="60"/>
  <c r="H529" i="60" s="1"/>
  <c r="J529" i="60" s="1"/>
  <c r="L529" i="60" s="1"/>
  <c r="B526" i="60"/>
  <c r="E524" i="60"/>
  <c r="B524" i="60"/>
  <c r="E523" i="60"/>
  <c r="B523" i="60"/>
  <c r="E522" i="60"/>
  <c r="B522" i="60"/>
  <c r="E521" i="60"/>
  <c r="B521" i="60"/>
  <c r="E520" i="60"/>
  <c r="B520" i="60"/>
  <c r="E519" i="60"/>
  <c r="B519" i="60"/>
  <c r="I518" i="60"/>
  <c r="K518" i="60" s="1"/>
  <c r="M518" i="60" s="1"/>
  <c r="H518" i="60"/>
  <c r="J518" i="60" s="1"/>
  <c r="L518" i="60" s="1"/>
  <c r="G511" i="60"/>
  <c r="I511" i="60" s="1"/>
  <c r="K511" i="60" s="1"/>
  <c r="M511" i="60" s="1"/>
  <c r="F511" i="60"/>
  <c r="H511" i="60" s="1"/>
  <c r="J511" i="60" s="1"/>
  <c r="L511" i="60" s="1"/>
  <c r="B508" i="60"/>
  <c r="E506" i="60"/>
  <c r="B506" i="60"/>
  <c r="E505" i="60"/>
  <c r="B505" i="60"/>
  <c r="E504" i="60"/>
  <c r="B504" i="60"/>
  <c r="E503" i="60"/>
  <c r="B503" i="60"/>
  <c r="E502" i="60"/>
  <c r="B502" i="60"/>
  <c r="E501" i="60"/>
  <c r="B501" i="60"/>
  <c r="I500" i="60"/>
  <c r="K500" i="60" s="1"/>
  <c r="M500" i="60" s="1"/>
  <c r="H500" i="60"/>
  <c r="J500" i="60" s="1"/>
  <c r="L500" i="60" s="1"/>
  <c r="G493" i="60"/>
  <c r="I493" i="60" s="1"/>
  <c r="K493" i="60" s="1"/>
  <c r="M493" i="60" s="1"/>
  <c r="F493" i="60"/>
  <c r="H493" i="60" s="1"/>
  <c r="J493" i="60" s="1"/>
  <c r="L493" i="60" s="1"/>
  <c r="B490" i="60"/>
  <c r="B472" i="60"/>
  <c r="E488" i="60"/>
  <c r="B488" i="60"/>
  <c r="E487" i="60"/>
  <c r="B487" i="60"/>
  <c r="E486" i="60"/>
  <c r="B486" i="60"/>
  <c r="E485" i="60"/>
  <c r="B485" i="60"/>
  <c r="E484" i="60"/>
  <c r="B484" i="60"/>
  <c r="E483" i="60"/>
  <c r="B483" i="60"/>
  <c r="I482" i="60"/>
  <c r="K482" i="60" s="1"/>
  <c r="M482" i="60" s="1"/>
  <c r="H482" i="60"/>
  <c r="J482" i="60" s="1"/>
  <c r="L482" i="60" s="1"/>
  <c r="G475" i="60"/>
  <c r="I475" i="60" s="1"/>
  <c r="K475" i="60" s="1"/>
  <c r="M475" i="60" s="1"/>
  <c r="F475" i="60"/>
  <c r="H475" i="60" s="1"/>
  <c r="J475" i="60" s="1"/>
  <c r="L475" i="60" s="1"/>
  <c r="G457" i="60"/>
  <c r="I457" i="60" s="1"/>
  <c r="K457" i="60" s="1"/>
  <c r="M457" i="60" s="1"/>
  <c r="F457" i="60"/>
  <c r="H457" i="60" s="1"/>
  <c r="J457" i="60" s="1"/>
  <c r="L457" i="60" s="1"/>
  <c r="E470" i="60"/>
  <c r="B470" i="60"/>
  <c r="E469" i="60"/>
  <c r="B469" i="60"/>
  <c r="E468" i="60"/>
  <c r="B468" i="60"/>
  <c r="E467" i="60"/>
  <c r="B467" i="60"/>
  <c r="E466" i="60"/>
  <c r="B466" i="60"/>
  <c r="E465" i="60"/>
  <c r="B465" i="60"/>
  <c r="I464" i="60"/>
  <c r="K464" i="60" s="1"/>
  <c r="M464" i="60" s="1"/>
  <c r="H464" i="60"/>
  <c r="J464" i="60" s="1"/>
  <c r="L464" i="60" s="1"/>
  <c r="B448" i="60"/>
  <c r="B449" i="60"/>
  <c r="B450" i="60"/>
  <c r="B451" i="60"/>
  <c r="B452" i="60"/>
  <c r="B447" i="60"/>
  <c r="P439" i="60"/>
  <c r="I446" i="60"/>
  <c r="K446" i="60" s="1"/>
  <c r="M446" i="60" s="1"/>
  <c r="H446" i="60"/>
  <c r="J446" i="60" s="1"/>
  <c r="L446" i="60" s="1"/>
  <c r="E448" i="60"/>
  <c r="E449" i="60"/>
  <c r="E450" i="60"/>
  <c r="E451" i="60"/>
  <c r="E452" i="60"/>
  <c r="E447" i="60"/>
  <c r="H443" i="60"/>
  <c r="H444" i="60"/>
  <c r="H442" i="60"/>
  <c r="C440" i="60" a="1"/>
  <c r="I439" i="60"/>
  <c r="K439" i="60" s="1"/>
  <c r="M439" i="60" s="1"/>
  <c r="H439" i="60"/>
  <c r="J439" i="60" s="1"/>
  <c r="L439" i="60" s="1"/>
  <c r="C440" i="60" l="1"/>
  <c r="C670" i="60"/>
  <c r="C674" i="60"/>
  <c r="C671" i="60"/>
  <c r="C672" i="60"/>
  <c r="C673" i="60"/>
  <c r="J442" i="60"/>
  <c r="J441" i="60"/>
  <c r="L442" i="60"/>
  <c r="L443" i="60"/>
  <c r="L444" i="60"/>
  <c r="J444" i="60"/>
  <c r="J443" i="60"/>
  <c r="C669" i="60" l="1"/>
  <c r="C675" i="60" s="1"/>
  <c r="O5" i="11"/>
  <c r="O6" i="11"/>
  <c r="O7" i="11"/>
  <c r="O9" i="11"/>
  <c r="O10" i="11"/>
  <c r="O11" i="11"/>
  <c r="O12" i="11"/>
  <c r="O13" i="11"/>
  <c r="O14" i="11"/>
  <c r="O15" i="11"/>
  <c r="O16" i="11"/>
  <c r="O17" i="11"/>
  <c r="O18" i="11"/>
  <c r="O19" i="11"/>
  <c r="O20" i="11"/>
  <c r="O21" i="11"/>
  <c r="O22" i="11"/>
  <c r="O23" i="11"/>
  <c r="O24" i="11"/>
  <c r="O25" i="11"/>
  <c r="O26" i="11"/>
  <c r="O27" i="11"/>
  <c r="O28" i="11"/>
  <c r="O29" i="11"/>
  <c r="O30" i="11"/>
  <c r="O31" i="11"/>
  <c r="O32" i="11"/>
  <c r="O33" i="11"/>
  <c r="O34" i="11"/>
  <c r="O35" i="11"/>
  <c r="O36" i="11"/>
  <c r="O37" i="11"/>
  <c r="O38" i="11"/>
  <c r="O39" i="11"/>
  <c r="O40" i="11"/>
  <c r="O41" i="11"/>
  <c r="O42" i="11"/>
  <c r="O43" i="11"/>
  <c r="O44" i="11"/>
  <c r="O45" i="11"/>
  <c r="O46" i="11"/>
  <c r="O47" i="11"/>
  <c r="O4" i="11"/>
  <c r="D408" i="60" l="1"/>
  <c r="J398" i="60" s="1"/>
  <c r="D413" i="60"/>
  <c r="D412" i="60"/>
  <c r="J382" i="60" s="1"/>
  <c r="D411" i="60"/>
  <c r="J399" i="60" s="1"/>
  <c r="D410" i="60"/>
  <c r="J390" i="60" s="1"/>
  <c r="D409" i="60"/>
  <c r="J381" i="60" s="1"/>
  <c r="D407" i="60"/>
  <c r="J389" i="60" s="1"/>
  <c r="D406" i="60"/>
  <c r="J380" i="60" s="1"/>
  <c r="D405" i="60"/>
  <c r="J397" i="60" s="1"/>
  <c r="D404" i="60"/>
  <c r="J388" i="60" s="1"/>
  <c r="D403" i="60"/>
  <c r="J379" i="60" s="1"/>
  <c r="D402" i="60"/>
  <c r="J387" i="60" s="1"/>
  <c r="D401" i="60"/>
  <c r="J378" i="60" s="1"/>
  <c r="D400" i="60"/>
  <c r="C410" i="60"/>
  <c r="C413" i="60" s="1"/>
  <c r="C411" i="60"/>
  <c r="C416" i="60" s="1"/>
  <c r="C409" i="60"/>
  <c r="C412" i="60" s="1"/>
  <c r="D399" i="60"/>
  <c r="J377" i="60" s="1"/>
  <c r="C391" i="60"/>
  <c r="C390" i="60"/>
  <c r="C388" i="60"/>
  <c r="C389" i="60"/>
  <c r="C394" i="60" s="1"/>
  <c r="C387" i="60"/>
  <c r="C385" i="60"/>
  <c r="C386" i="60"/>
  <c r="C384" i="60"/>
  <c r="C382" i="60"/>
  <c r="C383" i="60"/>
  <c r="C381" i="60"/>
  <c r="C380" i="60"/>
  <c r="C379" i="60"/>
  <c r="C378" i="60"/>
  <c r="C377" i="60"/>
  <c r="E360" i="60"/>
  <c r="C360" i="60"/>
  <c r="B369" i="60"/>
  <c r="B368" i="60" s="1"/>
  <c r="B367" i="60" s="1"/>
  <c r="B366" i="60" s="1"/>
  <c r="B365" i="60" s="1"/>
  <c r="B364" i="60" s="1"/>
  <c r="B363" i="60" s="1"/>
  <c r="B362" i="60" s="1"/>
  <c r="B361" i="60" s="1"/>
  <c r="G343" i="60"/>
  <c r="E343" i="60"/>
  <c r="C343" i="60"/>
  <c r="B352" i="60"/>
  <c r="B351" i="60" s="1"/>
  <c r="B350" i="60" s="1"/>
  <c r="B349" i="60" s="1"/>
  <c r="B348" i="60" s="1"/>
  <c r="B347" i="60" s="1"/>
  <c r="B346" i="60" s="1"/>
  <c r="B345" i="60" s="1"/>
  <c r="B344" i="60" s="1"/>
  <c r="G326" i="60"/>
  <c r="E326" i="60"/>
  <c r="C326" i="60"/>
  <c r="B335" i="60"/>
  <c r="B334" i="60" s="1"/>
  <c r="B333" i="60" s="1"/>
  <c r="B332" i="60" s="1"/>
  <c r="B331" i="60" s="1"/>
  <c r="B330" i="60" s="1"/>
  <c r="B329" i="60" s="1"/>
  <c r="B328" i="60" s="1"/>
  <c r="B327" i="60" s="1"/>
  <c r="G309" i="60"/>
  <c r="E309" i="60"/>
  <c r="C309" i="60"/>
  <c r="B318" i="60"/>
  <c r="B317" i="60" s="1"/>
  <c r="B316" i="60" s="1"/>
  <c r="B315" i="60" s="1"/>
  <c r="B314" i="60" s="1"/>
  <c r="B313" i="60" s="1"/>
  <c r="B312" i="60" s="1"/>
  <c r="B311" i="60" s="1"/>
  <c r="B310" i="60" s="1"/>
  <c r="E292" i="60"/>
  <c r="C292" i="60"/>
  <c r="J383" i="60" l="1"/>
  <c r="J391" i="60"/>
  <c r="F445" i="60"/>
  <c r="J445" i="60" s="1"/>
  <c r="J386" i="60"/>
  <c r="J392" i="60" s="1"/>
  <c r="F440" i="60"/>
  <c r="J401" i="60"/>
  <c r="D414" i="60"/>
  <c r="D416" i="60"/>
  <c r="D415" i="60"/>
  <c r="C679" i="60" l="1"/>
  <c r="J440" i="60"/>
  <c r="B301" i="60"/>
  <c r="B300" i="60" s="1"/>
  <c r="B299" i="60" s="1"/>
  <c r="B298" i="60" s="1"/>
  <c r="B297" i="60" s="1"/>
  <c r="B296" i="60" s="1"/>
  <c r="B295" i="60" s="1"/>
  <c r="B294" i="60" s="1"/>
  <c r="B293" i="60" s="1"/>
  <c r="E275" i="60"/>
  <c r="C275" i="60"/>
  <c r="B284" i="60"/>
  <c r="B283" i="60" s="1"/>
  <c r="B282" i="60" s="1"/>
  <c r="B281" i="60" s="1"/>
  <c r="B280" i="60" s="1"/>
  <c r="B279" i="60" s="1"/>
  <c r="B278" i="60" s="1"/>
  <c r="B277" i="60" s="1"/>
  <c r="B276" i="60" s="1"/>
  <c r="H261" i="60"/>
  <c r="G261" i="60"/>
  <c r="F261" i="60"/>
  <c r="D261" i="60"/>
  <c r="E261" i="60"/>
  <c r="C261" i="60"/>
  <c r="I245" i="60"/>
  <c r="B270" i="60"/>
  <c r="B269" i="60" s="1"/>
  <c r="B268" i="60" s="1"/>
  <c r="B267" i="60" s="1"/>
  <c r="B266" i="60" s="1"/>
  <c r="B265" i="60" s="1"/>
  <c r="B264" i="60" s="1"/>
  <c r="B263" i="60" s="1"/>
  <c r="B262" i="60" s="1"/>
  <c r="B257" i="60"/>
  <c r="B287" i="60" s="1"/>
  <c r="B304" i="60" s="1"/>
  <c r="B321" i="60" s="1"/>
  <c r="B338" i="60" s="1"/>
  <c r="B355" i="60" s="1"/>
  <c r="B372" i="60" s="1"/>
  <c r="B256" i="60"/>
  <c r="B286" i="60" s="1"/>
  <c r="B303" i="60" s="1"/>
  <c r="B320" i="60" s="1"/>
  <c r="B337" i="60" s="1"/>
  <c r="B354" i="60" s="1"/>
  <c r="B371" i="60" s="1"/>
  <c r="B254" i="60"/>
  <c r="B253" i="60" s="1"/>
  <c r="B252" i="60" s="1"/>
  <c r="B251" i="60" s="1"/>
  <c r="B250" i="60" s="1"/>
  <c r="B249" i="60" s="1"/>
  <c r="B248" i="60" s="1"/>
  <c r="B247" i="60" s="1"/>
  <c r="B246" i="60" s="1"/>
  <c r="I261" i="60" l="1"/>
  <c r="C225" i="60" l="1"/>
  <c r="D225" i="60"/>
  <c r="E225" i="60"/>
  <c r="F225" i="60"/>
  <c r="G225" i="60"/>
  <c r="C226" i="60"/>
  <c r="D226" i="60"/>
  <c r="E226" i="60"/>
  <c r="F226" i="60"/>
  <c r="G226" i="60"/>
  <c r="C227" i="60"/>
  <c r="D227" i="60"/>
  <c r="E227" i="60"/>
  <c r="F227" i="60"/>
  <c r="G227" i="60"/>
  <c r="B226" i="60"/>
  <c r="B227" i="60"/>
  <c r="D224" i="60"/>
  <c r="E224" i="60"/>
  <c r="F224" i="60"/>
  <c r="G224" i="60"/>
  <c r="C224" i="60"/>
  <c r="B225" i="60"/>
  <c r="E234" i="60"/>
  <c r="F234" i="60"/>
  <c r="G234" i="60"/>
  <c r="H234" i="60"/>
  <c r="I234" i="60"/>
  <c r="J234" i="60"/>
  <c r="E235" i="60"/>
  <c r="F235" i="60"/>
  <c r="G235" i="60"/>
  <c r="H235" i="60"/>
  <c r="I235" i="60"/>
  <c r="J235" i="60"/>
  <c r="E236" i="60"/>
  <c r="F236" i="60"/>
  <c r="G236" i="60"/>
  <c r="H236" i="60"/>
  <c r="I236" i="60"/>
  <c r="J236" i="60"/>
  <c r="E237" i="60"/>
  <c r="F237" i="60"/>
  <c r="G237" i="60"/>
  <c r="H237" i="60"/>
  <c r="I237" i="60"/>
  <c r="J237" i="60"/>
  <c r="E238" i="60"/>
  <c r="F238" i="60"/>
  <c r="G238" i="60"/>
  <c r="H238" i="60"/>
  <c r="I238" i="60"/>
  <c r="J238" i="60"/>
  <c r="E239" i="60"/>
  <c r="F239" i="60"/>
  <c r="G239" i="60"/>
  <c r="H239" i="60"/>
  <c r="I239" i="60"/>
  <c r="J239" i="60"/>
  <c r="E240" i="60"/>
  <c r="F240" i="60"/>
  <c r="G240" i="60"/>
  <c r="H240" i="60"/>
  <c r="I240" i="60"/>
  <c r="J240" i="60"/>
  <c r="E241" i="60"/>
  <c r="F241" i="60"/>
  <c r="G241" i="60"/>
  <c r="H241" i="60"/>
  <c r="I241" i="60"/>
  <c r="J241" i="60"/>
  <c r="D233" i="60"/>
  <c r="E233" i="60"/>
  <c r="F233" i="60"/>
  <c r="G233" i="60"/>
  <c r="H233" i="60"/>
  <c r="I233" i="60"/>
  <c r="J233" i="60"/>
  <c r="C233" i="60"/>
  <c r="C234" i="60"/>
  <c r="D234" i="60"/>
  <c r="C235" i="60"/>
  <c r="D235" i="60"/>
  <c r="C236" i="60"/>
  <c r="D236" i="60"/>
  <c r="C237" i="60"/>
  <c r="D237" i="60"/>
  <c r="C238" i="60"/>
  <c r="D238" i="60"/>
  <c r="C239" i="60"/>
  <c r="D239" i="60"/>
  <c r="C240" i="60"/>
  <c r="D240" i="60"/>
  <c r="C241" i="60"/>
  <c r="D241" i="60"/>
  <c r="B240" i="60"/>
  <c r="B241" i="60"/>
  <c r="B235" i="60"/>
  <c r="B236" i="60"/>
  <c r="B238" i="60"/>
  <c r="B234" i="60"/>
  <c r="C217" i="60"/>
  <c r="C218" i="60"/>
  <c r="C219" i="60"/>
  <c r="C220" i="60"/>
  <c r="C221" i="60"/>
  <c r="B218" i="60"/>
  <c r="D218" i="60" s="1"/>
  <c r="B219" i="60"/>
  <c r="B220" i="60"/>
  <c r="D220" i="60" s="1"/>
  <c r="B221" i="60"/>
  <c r="D221" i="60" s="1"/>
  <c r="B217" i="60"/>
  <c r="D217" i="60" s="1"/>
  <c r="S7" i="60"/>
  <c r="B62" i="60"/>
  <c r="B61" i="60"/>
  <c r="L28" i="60"/>
  <c r="M28" i="60"/>
  <c r="D219" i="60" l="1"/>
  <c r="C9" i="75" l="1"/>
  <c r="E8" i="75" l="1"/>
  <c r="J49" i="75" l="1"/>
  <c r="J52" i="75"/>
  <c r="J46" i="75"/>
  <c r="J47" i="75"/>
  <c r="B10" i="75" l="1"/>
  <c r="E38" i="75"/>
  <c r="B39" i="75"/>
  <c r="B38" i="75"/>
  <c r="B36" i="75"/>
  <c r="G40" i="75"/>
  <c r="H40" i="75" s="1"/>
  <c r="D39" i="75"/>
  <c r="G39" i="75" s="1"/>
  <c r="H39" i="75" s="1"/>
  <c r="D38" i="75"/>
  <c r="G37" i="75"/>
  <c r="H37" i="75" s="1"/>
  <c r="F36" i="75"/>
  <c r="D36" i="75"/>
  <c r="C36" i="75"/>
  <c r="G35" i="75"/>
  <c r="H35" i="75" s="1"/>
  <c r="G34" i="75"/>
  <c r="H34" i="75" s="1"/>
  <c r="E11" i="75"/>
  <c r="F9" i="75"/>
  <c r="E7" i="75"/>
  <c r="D13" i="75"/>
  <c r="B13" i="75" s="1"/>
  <c r="D12" i="75"/>
  <c r="D11" i="75"/>
  <c r="D9" i="75"/>
  <c r="D8" i="75"/>
  <c r="E9" i="75" l="1"/>
  <c r="B7" i="75"/>
  <c r="B12" i="75"/>
  <c r="B8" i="75"/>
  <c r="B11" i="75"/>
  <c r="G38" i="75"/>
  <c r="H38" i="75" s="1"/>
  <c r="E36" i="75"/>
  <c r="G36" i="75" s="1"/>
  <c r="H36" i="75" l="1"/>
  <c r="H41" i="75" s="1"/>
  <c r="G41" i="75"/>
  <c r="B9" i="75"/>
  <c r="F41" i="75"/>
  <c r="B40" i="75"/>
  <c r="B37" i="75"/>
  <c r="C41" i="75" l="1"/>
  <c r="B35" i="75"/>
  <c r="B34" i="75"/>
  <c r="D41" i="75"/>
  <c r="E41" i="75" l="1"/>
  <c r="B41" i="75"/>
  <c r="F14" i="75" l="1"/>
  <c r="C14" i="75" l="1"/>
  <c r="E14" i="75"/>
  <c r="B14" i="75" l="1"/>
  <c r="D14" i="75"/>
  <c r="L146" i="74"/>
  <c r="B146" i="74"/>
  <c r="A146" i="74"/>
  <c r="L145" i="74"/>
  <c r="B145" i="74"/>
  <c r="A145" i="74"/>
  <c r="L144" i="74"/>
  <c r="B144" i="74"/>
  <c r="A144" i="74"/>
  <c r="L143" i="74"/>
  <c r="B143" i="74"/>
  <c r="A143" i="74"/>
  <c r="L142" i="74"/>
  <c r="B142" i="74"/>
  <c r="A142" i="74"/>
  <c r="L141" i="74"/>
  <c r="B141" i="74"/>
  <c r="A141" i="74"/>
  <c r="L140" i="74"/>
  <c r="B140" i="74"/>
  <c r="A140" i="74"/>
  <c r="L139" i="74"/>
  <c r="B139" i="74"/>
  <c r="A139" i="74"/>
  <c r="L138" i="74"/>
  <c r="B138" i="74"/>
  <c r="A138" i="74"/>
  <c r="L137" i="74"/>
  <c r="B137" i="74"/>
  <c r="A137" i="74"/>
  <c r="L136" i="74"/>
  <c r="B136" i="74"/>
  <c r="A136" i="74"/>
  <c r="L135" i="74"/>
  <c r="B135" i="74"/>
  <c r="A135" i="74"/>
  <c r="L134" i="74"/>
  <c r="B134" i="74"/>
  <c r="A134" i="74"/>
  <c r="L133" i="74"/>
  <c r="B133" i="74"/>
  <c r="A133" i="74"/>
  <c r="L132" i="74"/>
  <c r="B132" i="74"/>
  <c r="A132" i="74"/>
  <c r="L131" i="74"/>
  <c r="B131" i="74"/>
  <c r="A131" i="74"/>
  <c r="L130" i="74"/>
  <c r="B130" i="74"/>
  <c r="A130" i="74"/>
  <c r="L129" i="74"/>
  <c r="B129" i="74"/>
  <c r="A129" i="74"/>
  <c r="L128" i="74"/>
  <c r="B128" i="74"/>
  <c r="A128" i="74"/>
  <c r="L127" i="74"/>
  <c r="B127" i="74"/>
  <c r="A127" i="74"/>
  <c r="L126" i="74"/>
  <c r="B126" i="74"/>
  <c r="A126" i="74"/>
  <c r="L125" i="74"/>
  <c r="B125" i="74"/>
  <c r="A125" i="74"/>
  <c r="L124" i="74"/>
  <c r="B124" i="74"/>
  <c r="A124" i="74"/>
  <c r="L123" i="74"/>
  <c r="B123" i="74"/>
  <c r="A123" i="74"/>
  <c r="L122" i="74"/>
  <c r="B122" i="74"/>
  <c r="A122" i="74"/>
  <c r="M121" i="74"/>
  <c r="L121" i="74"/>
  <c r="B121" i="74"/>
  <c r="A121" i="74"/>
  <c r="M120" i="74"/>
  <c r="L120" i="74"/>
  <c r="B120" i="74"/>
  <c r="A120" i="74"/>
  <c r="M119" i="74"/>
  <c r="L119" i="74"/>
  <c r="B119" i="74"/>
  <c r="A119" i="74"/>
  <c r="M118" i="74"/>
  <c r="L118" i="74"/>
  <c r="B118" i="74"/>
  <c r="A118" i="74"/>
  <c r="M117" i="74"/>
  <c r="L117" i="74"/>
  <c r="B117" i="74"/>
  <c r="A117" i="74"/>
  <c r="M116" i="74"/>
  <c r="L116" i="74"/>
  <c r="B116" i="74"/>
  <c r="A116" i="74"/>
  <c r="M115" i="74"/>
  <c r="L115" i="74"/>
  <c r="B115" i="74"/>
  <c r="A115" i="74"/>
  <c r="M114" i="74"/>
  <c r="L114" i="74"/>
  <c r="B114" i="74"/>
  <c r="A114" i="74"/>
  <c r="M113" i="74"/>
  <c r="L113" i="74"/>
  <c r="B113" i="74"/>
  <c r="A113" i="74"/>
  <c r="M112" i="74"/>
  <c r="L112" i="74"/>
  <c r="B112" i="74"/>
  <c r="A112" i="74"/>
  <c r="M111" i="74"/>
  <c r="L111" i="74"/>
  <c r="B111" i="74"/>
  <c r="A111" i="74"/>
  <c r="M110" i="74"/>
  <c r="L110" i="74"/>
  <c r="B110" i="74"/>
  <c r="A110" i="74"/>
  <c r="M109" i="74"/>
  <c r="L109" i="74"/>
  <c r="B109" i="74"/>
  <c r="A109" i="74"/>
  <c r="M108" i="74"/>
  <c r="L108" i="74"/>
  <c r="B108" i="74"/>
  <c r="A108" i="74"/>
  <c r="M107" i="74"/>
  <c r="L107" i="74"/>
  <c r="B107" i="74"/>
  <c r="A107" i="74"/>
  <c r="M106" i="74"/>
  <c r="L106" i="74"/>
  <c r="B106" i="74"/>
  <c r="A106" i="74"/>
  <c r="M105" i="74"/>
  <c r="L105" i="74"/>
  <c r="B105" i="74"/>
  <c r="A105" i="74"/>
  <c r="M104" i="74"/>
  <c r="L104" i="74"/>
  <c r="B104" i="74"/>
  <c r="A104" i="74"/>
  <c r="M103" i="74"/>
  <c r="L103" i="74"/>
  <c r="B103" i="74"/>
  <c r="A103" i="74"/>
  <c r="M102" i="74"/>
  <c r="B102" i="74"/>
  <c r="A102" i="74"/>
  <c r="M101" i="74"/>
  <c r="L101" i="74"/>
  <c r="B101" i="74"/>
  <c r="A101" i="74"/>
  <c r="M100" i="74"/>
  <c r="L100" i="74"/>
  <c r="B100" i="74"/>
  <c r="A100" i="74"/>
  <c r="M99" i="74"/>
  <c r="L99" i="74"/>
  <c r="B99" i="74"/>
  <c r="A99" i="74"/>
  <c r="M98" i="74"/>
  <c r="L98" i="74"/>
  <c r="B98" i="74"/>
  <c r="A98" i="74"/>
  <c r="M97" i="74"/>
  <c r="L97" i="74"/>
  <c r="B97" i="74"/>
  <c r="A97" i="74"/>
  <c r="M96" i="74"/>
  <c r="L96" i="74"/>
  <c r="B96" i="74"/>
  <c r="A96" i="74"/>
  <c r="M95" i="74"/>
  <c r="L95" i="74"/>
  <c r="B95" i="74"/>
  <c r="A95" i="74"/>
  <c r="M94" i="74"/>
  <c r="L94" i="74"/>
  <c r="B94" i="74"/>
  <c r="A94" i="74"/>
  <c r="M93" i="74"/>
  <c r="L93" i="74"/>
  <c r="B93" i="74"/>
  <c r="A93" i="74"/>
  <c r="M92" i="74"/>
  <c r="L92" i="74"/>
  <c r="B92" i="74"/>
  <c r="A92" i="74"/>
  <c r="M91" i="74"/>
  <c r="B91" i="74"/>
  <c r="A91" i="74"/>
  <c r="M90" i="74"/>
  <c r="B90" i="74"/>
  <c r="A90" i="74"/>
  <c r="M89" i="74"/>
  <c r="B89" i="74"/>
  <c r="A89" i="74"/>
  <c r="M88" i="74"/>
  <c r="L88" i="74"/>
  <c r="B88" i="74"/>
  <c r="A88" i="74"/>
  <c r="M87" i="74"/>
  <c r="L87" i="74"/>
  <c r="B87" i="74"/>
  <c r="A87" i="74"/>
  <c r="M86" i="74"/>
  <c r="L86" i="74"/>
  <c r="B86" i="74"/>
  <c r="A86" i="74"/>
  <c r="M85" i="74"/>
  <c r="L85" i="74"/>
  <c r="B85" i="74"/>
  <c r="A85" i="74"/>
  <c r="M84" i="74"/>
  <c r="L84" i="74"/>
  <c r="B84" i="74"/>
  <c r="A84" i="74"/>
  <c r="M83" i="74"/>
  <c r="L83" i="74"/>
  <c r="B83" i="74"/>
  <c r="A83" i="74"/>
  <c r="M82" i="74"/>
  <c r="L82" i="74"/>
  <c r="B82" i="74"/>
  <c r="A82" i="74"/>
  <c r="M81" i="74"/>
  <c r="L81" i="74"/>
  <c r="B81" i="74"/>
  <c r="A81" i="74"/>
  <c r="M80" i="74"/>
  <c r="L80" i="74"/>
  <c r="B80" i="74"/>
  <c r="A80" i="74"/>
  <c r="M79" i="74"/>
  <c r="L79" i="74"/>
  <c r="B79" i="74"/>
  <c r="A79" i="74"/>
  <c r="M78" i="74"/>
  <c r="L78" i="74"/>
  <c r="B78" i="74"/>
  <c r="A78" i="74"/>
  <c r="M77" i="74"/>
  <c r="L77" i="74"/>
  <c r="B77" i="74"/>
  <c r="A77" i="74"/>
  <c r="M76" i="74"/>
  <c r="L76" i="74"/>
  <c r="B76" i="74"/>
  <c r="A76" i="74"/>
  <c r="M75" i="74"/>
  <c r="L75" i="74"/>
  <c r="B75" i="74"/>
  <c r="A75" i="74"/>
  <c r="M74" i="74"/>
  <c r="L74" i="74"/>
  <c r="B74" i="74"/>
  <c r="A74" i="74"/>
  <c r="M73" i="74"/>
  <c r="L73" i="74"/>
  <c r="B73" i="74"/>
  <c r="A73" i="74"/>
  <c r="M72" i="74"/>
  <c r="L72" i="74"/>
  <c r="B72" i="74"/>
  <c r="A72" i="74"/>
  <c r="M71" i="74"/>
  <c r="L71" i="74"/>
  <c r="B71" i="74"/>
  <c r="A71" i="74"/>
  <c r="M70" i="74"/>
  <c r="L70" i="74"/>
  <c r="B70" i="74"/>
  <c r="A70" i="74"/>
  <c r="M69" i="74"/>
  <c r="L69" i="74"/>
  <c r="B69" i="74"/>
  <c r="A69" i="74"/>
  <c r="M68" i="74"/>
  <c r="L68" i="74"/>
  <c r="B68" i="74"/>
  <c r="A68" i="74"/>
  <c r="M67" i="74"/>
  <c r="L67" i="74"/>
  <c r="B67" i="74"/>
  <c r="A67" i="74"/>
  <c r="M66" i="74"/>
  <c r="L66" i="74"/>
  <c r="B66" i="74"/>
  <c r="A66" i="74"/>
  <c r="M65" i="74"/>
  <c r="L65" i="74"/>
  <c r="B65" i="74"/>
  <c r="A65" i="74"/>
  <c r="M64" i="74"/>
  <c r="L64" i="74"/>
  <c r="B64" i="74"/>
  <c r="A64" i="74"/>
  <c r="M63" i="74"/>
  <c r="L63" i="74"/>
  <c r="B63" i="74"/>
  <c r="A63" i="74"/>
  <c r="M62" i="74"/>
  <c r="L62" i="74"/>
  <c r="B62" i="74"/>
  <c r="A62" i="74"/>
  <c r="M61" i="74"/>
  <c r="L61" i="74"/>
  <c r="B61" i="74"/>
  <c r="A61" i="74"/>
  <c r="M60" i="74"/>
  <c r="L60" i="74"/>
  <c r="B60" i="74"/>
  <c r="A60" i="74"/>
  <c r="M59" i="74"/>
  <c r="L59" i="74"/>
  <c r="B59" i="74"/>
  <c r="A59" i="74"/>
  <c r="M58" i="74"/>
  <c r="L58" i="74"/>
  <c r="B58" i="74"/>
  <c r="A58" i="74"/>
  <c r="M57" i="74"/>
  <c r="L57" i="74"/>
  <c r="B57" i="74"/>
  <c r="A57" i="74"/>
  <c r="M56" i="74"/>
  <c r="L56" i="74"/>
  <c r="B56" i="74"/>
  <c r="A56" i="74"/>
  <c r="M55" i="74"/>
  <c r="L55" i="74"/>
  <c r="B55" i="74"/>
  <c r="A55" i="74"/>
  <c r="M54" i="74"/>
  <c r="L54" i="74"/>
  <c r="B54" i="74"/>
  <c r="A54" i="74"/>
  <c r="M53" i="74"/>
  <c r="L53" i="74"/>
  <c r="B53" i="74"/>
  <c r="A53" i="74"/>
  <c r="M52" i="74"/>
  <c r="L52" i="74"/>
  <c r="B52" i="74"/>
  <c r="A52" i="74"/>
  <c r="M51" i="74"/>
  <c r="L51" i="74"/>
  <c r="B51" i="74"/>
  <c r="A51" i="74"/>
  <c r="M50" i="74"/>
  <c r="L50" i="74"/>
  <c r="B50" i="74"/>
  <c r="A50" i="74"/>
  <c r="M49" i="74"/>
  <c r="L49" i="74"/>
  <c r="B49" i="74"/>
  <c r="A49" i="74"/>
  <c r="M48" i="74"/>
  <c r="L48" i="74"/>
  <c r="B48" i="74"/>
  <c r="A48" i="74"/>
  <c r="M47" i="74"/>
  <c r="L47" i="74"/>
  <c r="B47" i="74"/>
  <c r="A47" i="74"/>
  <c r="M46" i="74"/>
  <c r="L46" i="74"/>
  <c r="B46" i="74"/>
  <c r="A46" i="74"/>
  <c r="M45" i="74"/>
  <c r="L45" i="74"/>
  <c r="B45" i="74"/>
  <c r="A45" i="74"/>
  <c r="M44" i="74"/>
  <c r="L44" i="74"/>
  <c r="B44" i="74"/>
  <c r="A44" i="74"/>
  <c r="M43" i="74"/>
  <c r="L43" i="74"/>
  <c r="B43" i="74"/>
  <c r="A43" i="74"/>
  <c r="M42" i="74"/>
  <c r="L42" i="74"/>
  <c r="B42" i="74"/>
  <c r="A42" i="74"/>
  <c r="M41" i="74"/>
  <c r="L41" i="74"/>
  <c r="B41" i="74"/>
  <c r="A41" i="74"/>
  <c r="M40" i="74"/>
  <c r="L40" i="74"/>
  <c r="B40" i="74"/>
  <c r="A40" i="74"/>
  <c r="M39" i="74"/>
  <c r="L39" i="74"/>
  <c r="B39" i="74"/>
  <c r="A39" i="74"/>
  <c r="M38" i="74"/>
  <c r="L38" i="74"/>
  <c r="H38" i="74"/>
  <c r="H50" i="74" s="1"/>
  <c r="H62" i="74" s="1"/>
  <c r="H74" i="74" s="1"/>
  <c r="H86" i="74" s="1"/>
  <c r="H98" i="74" s="1"/>
  <c r="H110" i="74" s="1"/>
  <c r="H122" i="74" s="1"/>
  <c r="H134" i="74" s="1"/>
  <c r="H146" i="74" s="1"/>
  <c r="B38" i="74"/>
  <c r="A38" i="74"/>
  <c r="M37" i="74"/>
  <c r="L37" i="74"/>
  <c r="B37" i="74"/>
  <c r="A37" i="74"/>
  <c r="M36" i="74"/>
  <c r="L36" i="74"/>
  <c r="B36" i="74"/>
  <c r="A36" i="74"/>
  <c r="M35" i="74"/>
  <c r="L35" i="74"/>
  <c r="B35" i="74"/>
  <c r="A35" i="74"/>
  <c r="M34" i="74"/>
  <c r="L34" i="74"/>
  <c r="B34" i="74"/>
  <c r="A34" i="74"/>
  <c r="M33" i="74"/>
  <c r="L33" i="74"/>
  <c r="B33" i="74"/>
  <c r="A33" i="74"/>
  <c r="M32" i="74"/>
  <c r="L32" i="74"/>
  <c r="B32" i="74"/>
  <c r="A32" i="74"/>
  <c r="M31" i="74"/>
  <c r="L31" i="74"/>
  <c r="B31" i="74"/>
  <c r="A31" i="74"/>
  <c r="M30" i="74"/>
  <c r="L30" i="74"/>
  <c r="B30" i="74"/>
  <c r="A30" i="74"/>
  <c r="M29" i="74"/>
  <c r="L29" i="74"/>
  <c r="B29" i="74"/>
  <c r="A29" i="74"/>
  <c r="M28" i="74"/>
  <c r="L28" i="74"/>
  <c r="B28" i="74"/>
  <c r="A28" i="74"/>
  <c r="M27" i="74"/>
  <c r="L27" i="74"/>
  <c r="B27" i="74"/>
  <c r="A27" i="74"/>
  <c r="M26" i="74"/>
  <c r="L26" i="74"/>
  <c r="H26" i="74"/>
  <c r="B26" i="74"/>
  <c r="A26" i="74"/>
  <c r="M25" i="74"/>
  <c r="L25" i="74"/>
  <c r="B25" i="74"/>
  <c r="A25" i="74"/>
  <c r="M24" i="74"/>
  <c r="L24" i="74"/>
  <c r="B24" i="74"/>
  <c r="A24" i="74"/>
  <c r="M23" i="74"/>
  <c r="L23" i="74"/>
  <c r="H23" i="74"/>
  <c r="H35" i="74" s="1"/>
  <c r="H47" i="74" s="1"/>
  <c r="B23" i="74"/>
  <c r="A23" i="74"/>
  <c r="M22" i="74"/>
  <c r="L22" i="74"/>
  <c r="B22" i="74"/>
  <c r="A22" i="74"/>
  <c r="M21" i="74"/>
  <c r="L21" i="74"/>
  <c r="B21" i="74"/>
  <c r="A21" i="74"/>
  <c r="M20" i="74"/>
  <c r="L20" i="74"/>
  <c r="H20" i="74"/>
  <c r="H32" i="74" s="1"/>
  <c r="H44" i="74" s="1"/>
  <c r="H56" i="74" s="1"/>
  <c r="H68" i="74" s="1"/>
  <c r="H80" i="74" s="1"/>
  <c r="H92" i="74" s="1"/>
  <c r="H104" i="74" s="1"/>
  <c r="H116" i="74" s="1"/>
  <c r="H128" i="74" s="1"/>
  <c r="H140" i="74" s="1"/>
  <c r="B20" i="74"/>
  <c r="A20" i="74"/>
  <c r="M19" i="74"/>
  <c r="L19" i="74"/>
  <c r="B19" i="74"/>
  <c r="A19" i="74"/>
  <c r="M18" i="74"/>
  <c r="L18" i="74"/>
  <c r="B18" i="74"/>
  <c r="A18" i="74"/>
  <c r="M17" i="74"/>
  <c r="L17" i="74"/>
  <c r="H17" i="74"/>
  <c r="H29" i="74" s="1"/>
  <c r="H41" i="74" s="1"/>
  <c r="H53" i="74" s="1"/>
  <c r="H65" i="74" s="1"/>
  <c r="H77" i="74" s="1"/>
  <c r="H89" i="74" s="1"/>
  <c r="H101" i="74" s="1"/>
  <c r="H113" i="74" s="1"/>
  <c r="H125" i="74" s="1"/>
  <c r="H137" i="74" s="1"/>
  <c r="B17" i="74"/>
  <c r="A17" i="74"/>
  <c r="M16" i="74"/>
  <c r="L16" i="74"/>
  <c r="B16" i="74"/>
  <c r="A16" i="74"/>
  <c r="M15" i="74"/>
  <c r="L15" i="74"/>
  <c r="B15" i="74"/>
  <c r="A15" i="74"/>
  <c r="M14" i="74"/>
  <c r="L14" i="74"/>
  <c r="B14" i="74"/>
  <c r="A14" i="74"/>
  <c r="M13" i="74"/>
  <c r="L13" i="74"/>
  <c r="H13" i="74"/>
  <c r="H25" i="74" s="1"/>
  <c r="H37" i="74" s="1"/>
  <c r="H49" i="74" s="1"/>
  <c r="H61" i="74" s="1"/>
  <c r="H73" i="74" s="1"/>
  <c r="H85" i="74" s="1"/>
  <c r="H97" i="74" s="1"/>
  <c r="H109" i="74" s="1"/>
  <c r="H121" i="74" s="1"/>
  <c r="H133" i="74" s="1"/>
  <c r="H145" i="74" s="1"/>
  <c r="B13" i="74"/>
  <c r="A13" i="74"/>
  <c r="M12" i="74"/>
  <c r="L12" i="74"/>
  <c r="H12" i="74"/>
  <c r="H24" i="74" s="1"/>
  <c r="H36" i="74" s="1"/>
  <c r="H48" i="74" s="1"/>
  <c r="H60" i="74" s="1"/>
  <c r="H72" i="74" s="1"/>
  <c r="H84" i="74" s="1"/>
  <c r="H96" i="74" s="1"/>
  <c r="B12" i="74"/>
  <c r="A12" i="74"/>
  <c r="M11" i="74"/>
  <c r="L11" i="74"/>
  <c r="B11" i="74"/>
  <c r="A11" i="74"/>
  <c r="M10" i="74"/>
  <c r="L10" i="74"/>
  <c r="H10" i="74"/>
  <c r="B10" i="74"/>
  <c r="A10" i="74"/>
  <c r="M9" i="74"/>
  <c r="L9" i="74"/>
  <c r="H9" i="74"/>
  <c r="H21" i="74" s="1"/>
  <c r="H33" i="74" s="1"/>
  <c r="H45" i="74" s="1"/>
  <c r="H57" i="74" s="1"/>
  <c r="H69" i="74" s="1"/>
  <c r="H81" i="74" s="1"/>
  <c r="H93" i="74" s="1"/>
  <c r="H105" i="74" s="1"/>
  <c r="H117" i="74" s="1"/>
  <c r="H129" i="74" s="1"/>
  <c r="H141" i="74" s="1"/>
  <c r="B9" i="74"/>
  <c r="A9" i="74"/>
  <c r="M8" i="74"/>
  <c r="L8" i="74"/>
  <c r="B8" i="74"/>
  <c r="A8" i="74"/>
  <c r="M7" i="74"/>
  <c r="L7" i="74"/>
  <c r="H7" i="74"/>
  <c r="H19" i="74" s="1"/>
  <c r="H31" i="74" s="1"/>
  <c r="H43" i="74" s="1"/>
  <c r="H55" i="74" s="1"/>
  <c r="B7" i="74"/>
  <c r="A7" i="74"/>
  <c r="M6" i="74"/>
  <c r="L6" i="74"/>
  <c r="H6" i="74"/>
  <c r="H18" i="74" s="1"/>
  <c r="H30" i="74" s="1"/>
  <c r="H42" i="74" s="1"/>
  <c r="H54" i="74" s="1"/>
  <c r="H66" i="74" s="1"/>
  <c r="H78" i="74" s="1"/>
  <c r="B6" i="74"/>
  <c r="A6" i="74"/>
  <c r="M5" i="74"/>
  <c r="L5" i="74"/>
  <c r="B5" i="74"/>
  <c r="A5" i="74"/>
  <c r="M4" i="74"/>
  <c r="L4" i="74"/>
  <c r="H4" i="74"/>
  <c r="H16" i="74" s="1"/>
  <c r="H28" i="74" s="1"/>
  <c r="H40" i="74" s="1"/>
  <c r="H52" i="74" s="1"/>
  <c r="H64" i="74" s="1"/>
  <c r="H76" i="74" s="1"/>
  <c r="H88" i="74" s="1"/>
  <c r="H100" i="74" s="1"/>
  <c r="H112" i="74" s="1"/>
  <c r="H124" i="74" s="1"/>
  <c r="H136" i="74" s="1"/>
  <c r="B4" i="74"/>
  <c r="A4" i="74"/>
  <c r="M3" i="74"/>
  <c r="L3" i="74"/>
  <c r="H3" i="74"/>
  <c r="H15" i="74" s="1"/>
  <c r="H27" i="74" s="1"/>
  <c r="H39" i="74" s="1"/>
  <c r="B3" i="74"/>
  <c r="A3" i="74"/>
  <c r="H90" i="74" l="1"/>
  <c r="H102" i="74" s="1"/>
  <c r="H114" i="74" s="1"/>
  <c r="H126" i="74" s="1"/>
  <c r="H138" i="74" s="1"/>
  <c r="H67" i="74"/>
  <c r="H79" i="74" s="1"/>
  <c r="H59" i="74"/>
  <c r="H71" i="74" s="1"/>
  <c r="H51" i="74"/>
  <c r="H63" i="74" s="1"/>
  <c r="H108" i="74"/>
  <c r="H120" i="74" s="1"/>
  <c r="H132" i="74" s="1"/>
  <c r="H144" i="74" s="1"/>
  <c r="H22" i="74"/>
  <c r="H34" i="74" s="1"/>
  <c r="H46" i="74" s="1"/>
  <c r="H83" i="74" l="1"/>
  <c r="H75" i="74"/>
  <c r="H58" i="74"/>
  <c r="H91" i="74"/>
  <c r="A5" i="9"/>
  <c r="A6" i="9" s="1"/>
  <c r="A7" i="9" s="1"/>
  <c r="A8" i="9" s="1"/>
  <c r="A9" i="9" s="1"/>
  <c r="A10" i="9" s="1"/>
  <c r="A11" i="9" s="1"/>
  <c r="A12" i="9" s="1"/>
  <c r="A14" i="9" s="1"/>
  <c r="A15" i="9" s="1"/>
  <c r="H103" i="74" l="1"/>
  <c r="H87" i="74"/>
  <c r="H95" i="74"/>
  <c r="H70" i="74"/>
  <c r="L146" i="73"/>
  <c r="B146" i="73"/>
  <c r="A146" i="73"/>
  <c r="L145" i="73"/>
  <c r="B145" i="73"/>
  <c r="A145" i="73"/>
  <c r="L144" i="73"/>
  <c r="B144" i="73"/>
  <c r="A144" i="73"/>
  <c r="L143" i="73"/>
  <c r="B143" i="73"/>
  <c r="A143" i="73"/>
  <c r="L142" i="73"/>
  <c r="B142" i="73"/>
  <c r="A142" i="73"/>
  <c r="L141" i="73"/>
  <c r="B141" i="73"/>
  <c r="A141" i="73"/>
  <c r="L140" i="73"/>
  <c r="B140" i="73"/>
  <c r="A140" i="73"/>
  <c r="L139" i="73"/>
  <c r="B139" i="73"/>
  <c r="A139" i="73"/>
  <c r="L138" i="73"/>
  <c r="B138" i="73"/>
  <c r="A138" i="73"/>
  <c r="L137" i="73"/>
  <c r="B137" i="73"/>
  <c r="A137" i="73"/>
  <c r="L136" i="73"/>
  <c r="B136" i="73"/>
  <c r="A136" i="73"/>
  <c r="L135" i="73"/>
  <c r="B135" i="73"/>
  <c r="A135" i="73"/>
  <c r="L134" i="73"/>
  <c r="B134" i="73"/>
  <c r="A134" i="73"/>
  <c r="L133" i="73"/>
  <c r="B133" i="73"/>
  <c r="A133" i="73"/>
  <c r="L132" i="73"/>
  <c r="B132" i="73"/>
  <c r="A132" i="73"/>
  <c r="L131" i="73"/>
  <c r="B131" i="73"/>
  <c r="A131" i="73"/>
  <c r="L130" i="73"/>
  <c r="B130" i="73"/>
  <c r="A130" i="73"/>
  <c r="L129" i="73"/>
  <c r="B129" i="73"/>
  <c r="A129" i="73"/>
  <c r="L128" i="73"/>
  <c r="B128" i="73"/>
  <c r="A128" i="73"/>
  <c r="L127" i="73"/>
  <c r="B127" i="73"/>
  <c r="A127" i="73"/>
  <c r="L126" i="73"/>
  <c r="B126" i="73"/>
  <c r="A126" i="73"/>
  <c r="L125" i="73"/>
  <c r="B125" i="73"/>
  <c r="A125" i="73"/>
  <c r="L124" i="73"/>
  <c r="B124" i="73"/>
  <c r="A124" i="73"/>
  <c r="L123" i="73"/>
  <c r="B123" i="73"/>
  <c r="A123" i="73"/>
  <c r="L122" i="73"/>
  <c r="F122" i="73"/>
  <c r="E122" i="73"/>
  <c r="B122" i="73"/>
  <c r="A122" i="73"/>
  <c r="M121" i="73"/>
  <c r="L121" i="73"/>
  <c r="B121" i="73"/>
  <c r="A121" i="73"/>
  <c r="E121" i="73" s="1"/>
  <c r="M120" i="73"/>
  <c r="L120" i="73"/>
  <c r="B120" i="73"/>
  <c r="A120" i="73"/>
  <c r="F120" i="73" s="1"/>
  <c r="M119" i="73"/>
  <c r="L119" i="73"/>
  <c r="B119" i="73"/>
  <c r="A119" i="73"/>
  <c r="M118" i="73"/>
  <c r="L118" i="73"/>
  <c r="B118" i="73"/>
  <c r="A118" i="73"/>
  <c r="M117" i="73"/>
  <c r="L117" i="73"/>
  <c r="B117" i="73"/>
  <c r="A117" i="73"/>
  <c r="M116" i="73"/>
  <c r="L116" i="73"/>
  <c r="B116" i="73"/>
  <c r="A116" i="73"/>
  <c r="F116" i="73" s="1"/>
  <c r="M115" i="73"/>
  <c r="L115" i="73"/>
  <c r="B115" i="73"/>
  <c r="A115" i="73"/>
  <c r="E115" i="73" s="1"/>
  <c r="M114" i="73"/>
  <c r="L114" i="73"/>
  <c r="B114" i="73"/>
  <c r="A114" i="73"/>
  <c r="F114" i="73" s="1"/>
  <c r="M113" i="73"/>
  <c r="L113" i="73"/>
  <c r="B113" i="73"/>
  <c r="A113" i="73"/>
  <c r="F113" i="73" s="1"/>
  <c r="M112" i="73"/>
  <c r="L112" i="73"/>
  <c r="B112" i="73"/>
  <c r="A112" i="73"/>
  <c r="F112" i="73" s="1"/>
  <c r="M111" i="73"/>
  <c r="L111" i="73"/>
  <c r="B111" i="73"/>
  <c r="A111" i="73"/>
  <c r="M110" i="73"/>
  <c r="L110" i="73"/>
  <c r="B110" i="73"/>
  <c r="A110" i="73"/>
  <c r="M109" i="73"/>
  <c r="L109" i="73"/>
  <c r="B109" i="73"/>
  <c r="A109" i="73"/>
  <c r="M108" i="73"/>
  <c r="L108" i="73"/>
  <c r="B108" i="73"/>
  <c r="A108" i="73"/>
  <c r="F108" i="73" s="1"/>
  <c r="M107" i="73"/>
  <c r="L107" i="73"/>
  <c r="B107" i="73"/>
  <c r="A107" i="73"/>
  <c r="E107" i="73" s="1"/>
  <c r="M106" i="73"/>
  <c r="L106" i="73"/>
  <c r="B106" i="73"/>
  <c r="A106" i="73"/>
  <c r="F106" i="73" s="1"/>
  <c r="M105" i="73"/>
  <c r="L105" i="73"/>
  <c r="B105" i="73"/>
  <c r="A105" i="73"/>
  <c r="F105" i="73" s="1"/>
  <c r="M104" i="73"/>
  <c r="L104" i="73"/>
  <c r="B104" i="73"/>
  <c r="A104" i="73"/>
  <c r="F104" i="73" s="1"/>
  <c r="M103" i="73"/>
  <c r="L103" i="73"/>
  <c r="B103" i="73"/>
  <c r="A103" i="73"/>
  <c r="M102" i="73"/>
  <c r="B102" i="73"/>
  <c r="A102" i="73"/>
  <c r="M101" i="73"/>
  <c r="L101" i="73"/>
  <c r="B101" i="73"/>
  <c r="A101" i="73"/>
  <c r="F101" i="73" s="1"/>
  <c r="M100" i="73"/>
  <c r="L100" i="73"/>
  <c r="B100" i="73"/>
  <c r="A100" i="73"/>
  <c r="E100" i="73" s="1"/>
  <c r="M99" i="73"/>
  <c r="L99" i="73"/>
  <c r="B99" i="73"/>
  <c r="A99" i="73"/>
  <c r="F99" i="73" s="1"/>
  <c r="M98" i="73"/>
  <c r="L98" i="73"/>
  <c r="B98" i="73"/>
  <c r="A98" i="73"/>
  <c r="E98" i="73" s="1"/>
  <c r="M97" i="73"/>
  <c r="L97" i="73"/>
  <c r="B97" i="73"/>
  <c r="A97" i="73"/>
  <c r="F97" i="73" s="1"/>
  <c r="M96" i="73"/>
  <c r="L96" i="73"/>
  <c r="B96" i="73"/>
  <c r="A96" i="73"/>
  <c r="M95" i="73"/>
  <c r="L95" i="73"/>
  <c r="B95" i="73"/>
  <c r="A95" i="73"/>
  <c r="M94" i="73"/>
  <c r="L94" i="73"/>
  <c r="B94" i="73"/>
  <c r="A94" i="73"/>
  <c r="E94" i="73" s="1"/>
  <c r="M93" i="73"/>
  <c r="L93" i="73"/>
  <c r="B93" i="73"/>
  <c r="A93" i="73"/>
  <c r="F93" i="73" s="1"/>
  <c r="M92" i="73"/>
  <c r="L92" i="73"/>
  <c r="F92" i="73"/>
  <c r="B92" i="73"/>
  <c r="A92" i="73"/>
  <c r="E92" i="73" s="1"/>
  <c r="M91" i="73"/>
  <c r="B91" i="73"/>
  <c r="A91" i="73"/>
  <c r="M90" i="73"/>
  <c r="B90" i="73"/>
  <c r="A90" i="73"/>
  <c r="M89" i="73"/>
  <c r="B89" i="73"/>
  <c r="A89" i="73"/>
  <c r="E89" i="73" s="1"/>
  <c r="M88" i="73"/>
  <c r="L88" i="73"/>
  <c r="B88" i="73"/>
  <c r="A88" i="73"/>
  <c r="F88" i="73" s="1"/>
  <c r="M87" i="73"/>
  <c r="L87" i="73"/>
  <c r="B87" i="73"/>
  <c r="A87" i="73"/>
  <c r="E87" i="73" s="1"/>
  <c r="M86" i="73"/>
  <c r="L86" i="73"/>
  <c r="B86" i="73"/>
  <c r="A86" i="73"/>
  <c r="F86" i="73" s="1"/>
  <c r="M85" i="73"/>
  <c r="L85" i="73"/>
  <c r="B85" i="73"/>
  <c r="A85" i="73"/>
  <c r="E85" i="73" s="1"/>
  <c r="M84" i="73"/>
  <c r="L84" i="73"/>
  <c r="E84" i="73"/>
  <c r="B84" i="73"/>
  <c r="A84" i="73"/>
  <c r="F84" i="73" s="1"/>
  <c r="M83" i="73"/>
  <c r="L83" i="73"/>
  <c r="B83" i="73"/>
  <c r="A83" i="73"/>
  <c r="M82" i="73"/>
  <c r="L82" i="73"/>
  <c r="B82" i="73"/>
  <c r="A82" i="73"/>
  <c r="M81" i="73"/>
  <c r="L81" i="73"/>
  <c r="B81" i="73"/>
  <c r="A81" i="73"/>
  <c r="E81" i="73" s="1"/>
  <c r="M80" i="73"/>
  <c r="L80" i="73"/>
  <c r="B80" i="73"/>
  <c r="A80" i="73"/>
  <c r="F80" i="73" s="1"/>
  <c r="M79" i="73"/>
  <c r="L79" i="73"/>
  <c r="B79" i="73"/>
  <c r="A79" i="73"/>
  <c r="E79" i="73" s="1"/>
  <c r="M78" i="73"/>
  <c r="L78" i="73"/>
  <c r="B78" i="73"/>
  <c r="A78" i="73"/>
  <c r="F78" i="73" s="1"/>
  <c r="M77" i="73"/>
  <c r="L77" i="73"/>
  <c r="B77" i="73"/>
  <c r="A77" i="73"/>
  <c r="F77" i="73" s="1"/>
  <c r="M76" i="73"/>
  <c r="L76" i="73"/>
  <c r="B76" i="73"/>
  <c r="A76" i="73"/>
  <c r="F76" i="73" s="1"/>
  <c r="M75" i="73"/>
  <c r="L75" i="73"/>
  <c r="B75" i="73"/>
  <c r="A75" i="73"/>
  <c r="M74" i="73"/>
  <c r="L74" i="73"/>
  <c r="B74" i="73"/>
  <c r="A74" i="73"/>
  <c r="M73" i="73"/>
  <c r="L73" i="73"/>
  <c r="B73" i="73"/>
  <c r="A73" i="73"/>
  <c r="E73" i="73" s="1"/>
  <c r="M72" i="73"/>
  <c r="L72" i="73"/>
  <c r="B72" i="73"/>
  <c r="A72" i="73"/>
  <c r="F72" i="73" s="1"/>
  <c r="M71" i="73"/>
  <c r="L71" i="73"/>
  <c r="B71" i="73"/>
  <c r="A71" i="73"/>
  <c r="E71" i="73" s="1"/>
  <c r="M70" i="73"/>
  <c r="L70" i="73"/>
  <c r="B70" i="73"/>
  <c r="A70" i="73"/>
  <c r="F70" i="73" s="1"/>
  <c r="M69" i="73"/>
  <c r="L69" i="73"/>
  <c r="B69" i="73"/>
  <c r="A69" i="73"/>
  <c r="F69" i="73" s="1"/>
  <c r="M68" i="73"/>
  <c r="L68" i="73"/>
  <c r="B68" i="73"/>
  <c r="A68" i="73"/>
  <c r="F68" i="73" s="1"/>
  <c r="M67" i="73"/>
  <c r="L67" i="73"/>
  <c r="B67" i="73"/>
  <c r="A67" i="73"/>
  <c r="M66" i="73"/>
  <c r="L66" i="73"/>
  <c r="B66" i="73"/>
  <c r="A66" i="73"/>
  <c r="M65" i="73"/>
  <c r="L65" i="73"/>
  <c r="B65" i="73"/>
  <c r="A65" i="73"/>
  <c r="E65" i="73" s="1"/>
  <c r="M64" i="73"/>
  <c r="L64" i="73"/>
  <c r="B64" i="73"/>
  <c r="A64" i="73"/>
  <c r="F64" i="73" s="1"/>
  <c r="M63" i="73"/>
  <c r="L63" i="73"/>
  <c r="B63" i="73"/>
  <c r="A63" i="73"/>
  <c r="E63" i="73" s="1"/>
  <c r="M62" i="73"/>
  <c r="L62" i="73"/>
  <c r="B62" i="73"/>
  <c r="A62" i="73"/>
  <c r="F62" i="73" s="1"/>
  <c r="M61" i="73"/>
  <c r="L61" i="73"/>
  <c r="B61" i="73"/>
  <c r="A61" i="73"/>
  <c r="F61" i="73" s="1"/>
  <c r="M60" i="73"/>
  <c r="L60" i="73"/>
  <c r="B60" i="73"/>
  <c r="A60" i="73"/>
  <c r="F60" i="73" s="1"/>
  <c r="M59" i="73"/>
  <c r="L59" i="73"/>
  <c r="B59" i="73"/>
  <c r="A59" i="73"/>
  <c r="M58" i="73"/>
  <c r="L58" i="73"/>
  <c r="B58" i="73"/>
  <c r="A58" i="73"/>
  <c r="M57" i="73"/>
  <c r="L57" i="73"/>
  <c r="B57" i="73"/>
  <c r="A57" i="73"/>
  <c r="E57" i="73" s="1"/>
  <c r="M56" i="73"/>
  <c r="L56" i="73"/>
  <c r="E56" i="73"/>
  <c r="B56" i="73"/>
  <c r="A56" i="73"/>
  <c r="F56" i="73" s="1"/>
  <c r="M55" i="73"/>
  <c r="L55" i="73"/>
  <c r="B55" i="73"/>
  <c r="A55" i="73"/>
  <c r="E55" i="73" s="1"/>
  <c r="M54" i="73"/>
  <c r="L54" i="73"/>
  <c r="B54" i="73"/>
  <c r="A54" i="73"/>
  <c r="E54" i="73" s="1"/>
  <c r="M53" i="73"/>
  <c r="L53" i="73"/>
  <c r="B53" i="73"/>
  <c r="A53" i="73"/>
  <c r="F53" i="73" s="1"/>
  <c r="M52" i="73"/>
  <c r="L52" i="73"/>
  <c r="B52" i="73"/>
  <c r="A52" i="73"/>
  <c r="F52" i="73" s="1"/>
  <c r="M51" i="73"/>
  <c r="L51" i="73"/>
  <c r="B51" i="73"/>
  <c r="A51" i="73"/>
  <c r="M50" i="73"/>
  <c r="L50" i="73"/>
  <c r="B50" i="73"/>
  <c r="A50" i="73"/>
  <c r="M49" i="73"/>
  <c r="L49" i="73"/>
  <c r="B49" i="73"/>
  <c r="A49" i="73"/>
  <c r="M48" i="73"/>
  <c r="L48" i="73"/>
  <c r="B48" i="73"/>
  <c r="A48" i="73"/>
  <c r="E48" i="73" s="1"/>
  <c r="M47" i="73"/>
  <c r="L47" i="73"/>
  <c r="B47" i="73"/>
  <c r="A47" i="73"/>
  <c r="F47" i="73" s="1"/>
  <c r="M46" i="73"/>
  <c r="L46" i="73"/>
  <c r="B46" i="73"/>
  <c r="A46" i="73"/>
  <c r="E46" i="73" s="1"/>
  <c r="M45" i="73"/>
  <c r="L45" i="73"/>
  <c r="B45" i="73"/>
  <c r="A45" i="73"/>
  <c r="E45" i="73" s="1"/>
  <c r="M44" i="73"/>
  <c r="L44" i="73"/>
  <c r="B44" i="73"/>
  <c r="A44" i="73"/>
  <c r="F44" i="73" s="1"/>
  <c r="M43" i="73"/>
  <c r="L43" i="73"/>
  <c r="B43" i="73"/>
  <c r="A43" i="73"/>
  <c r="E43" i="73" s="1"/>
  <c r="M42" i="73"/>
  <c r="L42" i="73"/>
  <c r="B42" i="73"/>
  <c r="A42" i="73"/>
  <c r="M41" i="73"/>
  <c r="L41" i="73"/>
  <c r="B41" i="73"/>
  <c r="A41" i="73"/>
  <c r="M40" i="73"/>
  <c r="L40" i="73"/>
  <c r="B40" i="73"/>
  <c r="A40" i="73"/>
  <c r="E40" i="73" s="1"/>
  <c r="M39" i="73"/>
  <c r="L39" i="73"/>
  <c r="B39" i="73"/>
  <c r="A39" i="73"/>
  <c r="F39" i="73" s="1"/>
  <c r="M38" i="73"/>
  <c r="L38" i="73"/>
  <c r="B38" i="73"/>
  <c r="A38" i="73"/>
  <c r="E38" i="73" s="1"/>
  <c r="M37" i="73"/>
  <c r="L37" i="73"/>
  <c r="F37" i="73"/>
  <c r="B37" i="73"/>
  <c r="A37" i="73"/>
  <c r="E37" i="73" s="1"/>
  <c r="M36" i="73"/>
  <c r="L36" i="73"/>
  <c r="B36" i="73"/>
  <c r="A36" i="73"/>
  <c r="F36" i="73" s="1"/>
  <c r="M35" i="73"/>
  <c r="L35" i="73"/>
  <c r="B35" i="73"/>
  <c r="A35" i="73"/>
  <c r="E35" i="73" s="1"/>
  <c r="M34" i="73"/>
  <c r="L34" i="73"/>
  <c r="B34" i="73"/>
  <c r="A34" i="73"/>
  <c r="M33" i="73"/>
  <c r="L33" i="73"/>
  <c r="B33" i="73"/>
  <c r="A33" i="73"/>
  <c r="M32" i="73"/>
  <c r="L32" i="73"/>
  <c r="B32" i="73"/>
  <c r="A32" i="73"/>
  <c r="F32" i="73" s="1"/>
  <c r="M31" i="73"/>
  <c r="L31" i="73"/>
  <c r="B31" i="73"/>
  <c r="A31" i="73"/>
  <c r="F31" i="73" s="1"/>
  <c r="M30" i="73"/>
  <c r="L30" i="73"/>
  <c r="B30" i="73"/>
  <c r="A30" i="73"/>
  <c r="E30" i="73" s="1"/>
  <c r="M29" i="73"/>
  <c r="L29" i="73"/>
  <c r="B29" i="73"/>
  <c r="A29" i="73"/>
  <c r="E29" i="73" s="1"/>
  <c r="M28" i="73"/>
  <c r="L28" i="73"/>
  <c r="B28" i="73"/>
  <c r="A28" i="73"/>
  <c r="F28" i="73" s="1"/>
  <c r="M27" i="73"/>
  <c r="L27" i="73"/>
  <c r="B27" i="73"/>
  <c r="A27" i="73"/>
  <c r="E27" i="73" s="1"/>
  <c r="M26" i="73"/>
  <c r="L26" i="73"/>
  <c r="H26" i="73"/>
  <c r="H38" i="73" s="1"/>
  <c r="H50" i="73" s="1"/>
  <c r="H62" i="73" s="1"/>
  <c r="H74" i="73" s="1"/>
  <c r="H86" i="73" s="1"/>
  <c r="H98" i="73" s="1"/>
  <c r="H110" i="73" s="1"/>
  <c r="H122" i="73" s="1"/>
  <c r="H134" i="73" s="1"/>
  <c r="H146" i="73" s="1"/>
  <c r="B26" i="73"/>
  <c r="A26" i="73"/>
  <c r="M25" i="73"/>
  <c r="L25" i="73"/>
  <c r="B25" i="73"/>
  <c r="A25" i="73"/>
  <c r="M24" i="73"/>
  <c r="L24" i="73"/>
  <c r="B24" i="73"/>
  <c r="A24" i="73"/>
  <c r="F24" i="73" s="1"/>
  <c r="M23" i="73"/>
  <c r="L23" i="73"/>
  <c r="H23" i="73"/>
  <c r="H35" i="73" s="1"/>
  <c r="H47" i="73" s="1"/>
  <c r="H59" i="73" s="1"/>
  <c r="H71" i="73" s="1"/>
  <c r="H83" i="73" s="1"/>
  <c r="H95" i="73" s="1"/>
  <c r="H107" i="73" s="1"/>
  <c r="H119" i="73" s="1"/>
  <c r="H131" i="73" s="1"/>
  <c r="H143" i="73" s="1"/>
  <c r="B23" i="73"/>
  <c r="A23" i="73"/>
  <c r="F23" i="73" s="1"/>
  <c r="M22" i="73"/>
  <c r="L22" i="73"/>
  <c r="B22" i="73"/>
  <c r="A22" i="73"/>
  <c r="E22" i="73" s="1"/>
  <c r="M21" i="73"/>
  <c r="L21" i="73"/>
  <c r="B21" i="73"/>
  <c r="A21" i="73"/>
  <c r="E21" i="73" s="1"/>
  <c r="M20" i="73"/>
  <c r="L20" i="73"/>
  <c r="H20" i="73"/>
  <c r="H32" i="73" s="1"/>
  <c r="H44" i="73" s="1"/>
  <c r="H56" i="73" s="1"/>
  <c r="H68" i="73" s="1"/>
  <c r="H80" i="73" s="1"/>
  <c r="H92" i="73" s="1"/>
  <c r="H104" i="73" s="1"/>
  <c r="H116" i="73" s="1"/>
  <c r="H128" i="73" s="1"/>
  <c r="H140" i="73" s="1"/>
  <c r="B20" i="73"/>
  <c r="A20" i="73"/>
  <c r="F20" i="73" s="1"/>
  <c r="M19" i="73"/>
  <c r="L19" i="73"/>
  <c r="B19" i="73"/>
  <c r="A19" i="73"/>
  <c r="E19" i="73" s="1"/>
  <c r="M18" i="73"/>
  <c r="L18" i="73"/>
  <c r="B18" i="73"/>
  <c r="A18" i="73"/>
  <c r="M17" i="73"/>
  <c r="L17" i="73"/>
  <c r="H17" i="73"/>
  <c r="H29" i="73" s="1"/>
  <c r="H41" i="73" s="1"/>
  <c r="H53" i="73" s="1"/>
  <c r="H65" i="73" s="1"/>
  <c r="H77" i="73" s="1"/>
  <c r="H89" i="73" s="1"/>
  <c r="H101" i="73" s="1"/>
  <c r="H113" i="73" s="1"/>
  <c r="H125" i="73" s="1"/>
  <c r="H137" i="73" s="1"/>
  <c r="B17" i="73"/>
  <c r="A17" i="73"/>
  <c r="M16" i="73"/>
  <c r="L16" i="73"/>
  <c r="B16" i="73"/>
  <c r="A16" i="73"/>
  <c r="F16" i="73" s="1"/>
  <c r="M15" i="73"/>
  <c r="L15" i="73"/>
  <c r="B15" i="73"/>
  <c r="A15" i="73"/>
  <c r="F15" i="73" s="1"/>
  <c r="M14" i="73"/>
  <c r="L14" i="73"/>
  <c r="B14" i="73"/>
  <c r="A14" i="73"/>
  <c r="F14" i="73" s="1"/>
  <c r="M13" i="73"/>
  <c r="L13" i="73"/>
  <c r="H13" i="73"/>
  <c r="H25" i="73" s="1"/>
  <c r="H37" i="73" s="1"/>
  <c r="H49" i="73" s="1"/>
  <c r="H61" i="73" s="1"/>
  <c r="H73" i="73" s="1"/>
  <c r="H85" i="73" s="1"/>
  <c r="H97" i="73" s="1"/>
  <c r="H109" i="73" s="1"/>
  <c r="H121" i="73" s="1"/>
  <c r="H133" i="73" s="1"/>
  <c r="H145" i="73" s="1"/>
  <c r="B13" i="73"/>
  <c r="A13" i="73"/>
  <c r="F13" i="73" s="1"/>
  <c r="M12" i="73"/>
  <c r="L12" i="73"/>
  <c r="H12" i="73"/>
  <c r="H24" i="73" s="1"/>
  <c r="H36" i="73" s="1"/>
  <c r="H48" i="73" s="1"/>
  <c r="H60" i="73" s="1"/>
  <c r="H72" i="73" s="1"/>
  <c r="H84" i="73" s="1"/>
  <c r="H96" i="73" s="1"/>
  <c r="H108" i="73" s="1"/>
  <c r="H120" i="73" s="1"/>
  <c r="F12" i="73"/>
  <c r="B12" i="73"/>
  <c r="A12" i="73"/>
  <c r="E12" i="73" s="1"/>
  <c r="M11" i="73"/>
  <c r="L11" i="73"/>
  <c r="B11" i="73"/>
  <c r="A11" i="73"/>
  <c r="M10" i="73"/>
  <c r="L10" i="73"/>
  <c r="H10" i="73"/>
  <c r="H22" i="73" s="1"/>
  <c r="H34" i="73" s="1"/>
  <c r="H46" i="73" s="1"/>
  <c r="H58" i="73" s="1"/>
  <c r="H70" i="73" s="1"/>
  <c r="H82" i="73" s="1"/>
  <c r="H94" i="73" s="1"/>
  <c r="H106" i="73" s="1"/>
  <c r="B10" i="73"/>
  <c r="A10" i="73"/>
  <c r="F10" i="73" s="1"/>
  <c r="M9" i="73"/>
  <c r="L9" i="73"/>
  <c r="H9" i="73"/>
  <c r="H21" i="73" s="1"/>
  <c r="H33" i="73" s="1"/>
  <c r="H45" i="73" s="1"/>
  <c r="H57" i="73" s="1"/>
  <c r="H69" i="73" s="1"/>
  <c r="H81" i="73" s="1"/>
  <c r="H93" i="73" s="1"/>
  <c r="H105" i="73" s="1"/>
  <c r="H117" i="73" s="1"/>
  <c r="H129" i="73" s="1"/>
  <c r="H141" i="73" s="1"/>
  <c r="B9" i="73"/>
  <c r="A9" i="73"/>
  <c r="F9" i="73" s="1"/>
  <c r="M8" i="73"/>
  <c r="L8" i="73"/>
  <c r="B8" i="73"/>
  <c r="A8" i="73"/>
  <c r="F8" i="73" s="1"/>
  <c r="M7" i="73"/>
  <c r="L7" i="73"/>
  <c r="H7" i="73"/>
  <c r="H19" i="73" s="1"/>
  <c r="H31" i="73" s="1"/>
  <c r="H43" i="73" s="1"/>
  <c r="H55" i="73" s="1"/>
  <c r="H67" i="73" s="1"/>
  <c r="H79" i="73" s="1"/>
  <c r="H91" i="73" s="1"/>
  <c r="H103" i="73" s="1"/>
  <c r="H115" i="73" s="1"/>
  <c r="H127" i="73" s="1"/>
  <c r="H139" i="73" s="1"/>
  <c r="B7" i="73"/>
  <c r="A7" i="73"/>
  <c r="F7" i="73" s="1"/>
  <c r="M6" i="73"/>
  <c r="L6" i="73"/>
  <c r="H6" i="73"/>
  <c r="H18" i="73" s="1"/>
  <c r="H30" i="73" s="1"/>
  <c r="H42" i="73" s="1"/>
  <c r="H54" i="73" s="1"/>
  <c r="H66" i="73" s="1"/>
  <c r="H78" i="73" s="1"/>
  <c r="H90" i="73" s="1"/>
  <c r="H102" i="73" s="1"/>
  <c r="H114" i="73" s="1"/>
  <c r="H126" i="73" s="1"/>
  <c r="H138" i="73" s="1"/>
  <c r="B6" i="73"/>
  <c r="A6" i="73"/>
  <c r="E6" i="73" s="1"/>
  <c r="M5" i="73"/>
  <c r="L5" i="73"/>
  <c r="B5" i="73"/>
  <c r="A5" i="73"/>
  <c r="M4" i="73"/>
  <c r="L4" i="73"/>
  <c r="H4" i="73"/>
  <c r="H16" i="73" s="1"/>
  <c r="H28" i="73" s="1"/>
  <c r="H40" i="73" s="1"/>
  <c r="H52" i="73" s="1"/>
  <c r="B4" i="73"/>
  <c r="A4" i="73"/>
  <c r="F4" i="73" s="1"/>
  <c r="M3" i="73"/>
  <c r="L3" i="73"/>
  <c r="H3" i="73"/>
  <c r="H15" i="73" s="1"/>
  <c r="H27" i="73" s="1"/>
  <c r="H39" i="73" s="1"/>
  <c r="H51" i="73" s="1"/>
  <c r="H63" i="73" s="1"/>
  <c r="H75" i="73" s="1"/>
  <c r="H87" i="73" s="1"/>
  <c r="H99" i="73" s="1"/>
  <c r="H111" i="73" s="1"/>
  <c r="H123" i="73" s="1"/>
  <c r="H135" i="73" s="1"/>
  <c r="B3" i="73"/>
  <c r="A3" i="73"/>
  <c r="F3" i="73" s="1"/>
  <c r="D132" i="60"/>
  <c r="D133" i="60" s="1"/>
  <c r="D134" i="60" s="1"/>
  <c r="D135" i="60" s="1"/>
  <c r="D136" i="60" s="1"/>
  <c r="D137" i="60" s="1"/>
  <c r="D138" i="60" s="1"/>
  <c r="D139" i="60" s="1"/>
  <c r="D140" i="60" s="1"/>
  <c r="E132" i="60"/>
  <c r="E133" i="60" s="1"/>
  <c r="E134" i="60" s="1"/>
  <c r="E135" i="60" s="1"/>
  <c r="E136" i="60" s="1"/>
  <c r="E137" i="60" s="1"/>
  <c r="E138" i="60" s="1"/>
  <c r="E139" i="60" s="1"/>
  <c r="E140" i="60" s="1"/>
  <c r="F132" i="60"/>
  <c r="F133" i="60" s="1"/>
  <c r="F134" i="60" s="1"/>
  <c r="F135" i="60" s="1"/>
  <c r="F136" i="60" s="1"/>
  <c r="F137" i="60" s="1"/>
  <c r="F138" i="60" s="1"/>
  <c r="F139" i="60" s="1"/>
  <c r="F140" i="60" s="1"/>
  <c r="G132" i="60"/>
  <c r="G133" i="60" s="1"/>
  <c r="G134" i="60" s="1"/>
  <c r="G135" i="60" s="1"/>
  <c r="G136" i="60" s="1"/>
  <c r="G137" i="60" s="1"/>
  <c r="G138" i="60" s="1"/>
  <c r="G139" i="60" s="1"/>
  <c r="G140" i="60" s="1"/>
  <c r="H132" i="60"/>
  <c r="H133" i="60" s="1"/>
  <c r="H134" i="60" s="1"/>
  <c r="H135" i="60" s="1"/>
  <c r="H136" i="60" s="1"/>
  <c r="H137" i="60" s="1"/>
  <c r="H138" i="60" s="1"/>
  <c r="H139" i="60" s="1"/>
  <c r="H140" i="60" s="1"/>
  <c r="I132" i="60"/>
  <c r="I133" i="60" s="1"/>
  <c r="I134" i="60" s="1"/>
  <c r="I135" i="60" s="1"/>
  <c r="I136" i="60" s="1"/>
  <c r="I137" i="60" s="1"/>
  <c r="I138" i="60" s="1"/>
  <c r="I139" i="60" s="1"/>
  <c r="I140" i="60" s="1"/>
  <c r="J132" i="60"/>
  <c r="J133" i="60" s="1"/>
  <c r="J134" i="60" s="1"/>
  <c r="J135" i="60" s="1"/>
  <c r="J136" i="60" s="1"/>
  <c r="J137" i="60" s="1"/>
  <c r="J138" i="60" s="1"/>
  <c r="J139" i="60" s="1"/>
  <c r="J140" i="60" s="1"/>
  <c r="K132" i="60"/>
  <c r="K133" i="60" s="1"/>
  <c r="K134" i="60" s="1"/>
  <c r="K135" i="60" s="1"/>
  <c r="K136" i="60" s="1"/>
  <c r="K137" i="60" s="1"/>
  <c r="K138" i="60" s="1"/>
  <c r="K139" i="60" s="1"/>
  <c r="K140" i="60" s="1"/>
  <c r="L132" i="60"/>
  <c r="L133" i="60" s="1"/>
  <c r="L134" i="60" s="1"/>
  <c r="L135" i="60" s="1"/>
  <c r="L136" i="60" s="1"/>
  <c r="L137" i="60" s="1"/>
  <c r="L138" i="60" s="1"/>
  <c r="L139" i="60" s="1"/>
  <c r="L140" i="60" s="1"/>
  <c r="M132" i="60"/>
  <c r="M133" i="60" s="1"/>
  <c r="M134" i="60" s="1"/>
  <c r="M135" i="60" s="1"/>
  <c r="M136" i="60" s="1"/>
  <c r="M137" i="60" s="1"/>
  <c r="M138" i="60" s="1"/>
  <c r="M139" i="60" s="1"/>
  <c r="M140" i="60" s="1"/>
  <c r="N132" i="60"/>
  <c r="N133" i="60" s="1"/>
  <c r="N134" i="60" s="1"/>
  <c r="N135" i="60" s="1"/>
  <c r="N136" i="60" s="1"/>
  <c r="N137" i="60" s="1"/>
  <c r="N138" i="60" s="1"/>
  <c r="N139" i="60" s="1"/>
  <c r="N140" i="60" s="1"/>
  <c r="C132" i="60"/>
  <c r="C133" i="60" s="1"/>
  <c r="C134" i="60" s="1"/>
  <c r="C135" i="60" s="1"/>
  <c r="C136" i="60" s="1"/>
  <c r="C137" i="60" s="1"/>
  <c r="C138" i="60" s="1"/>
  <c r="C139" i="60" s="1"/>
  <c r="C140" i="60" s="1"/>
  <c r="F22" i="73" l="1"/>
  <c r="F55" i="73"/>
  <c r="F40" i="73"/>
  <c r="E93" i="73"/>
  <c r="E113" i="73"/>
  <c r="E3" i="73"/>
  <c r="F46" i="73"/>
  <c r="F85" i="73"/>
  <c r="F21" i="73"/>
  <c r="F121" i="73"/>
  <c r="E10" i="73"/>
  <c r="E23" i="73"/>
  <c r="F38" i="73"/>
  <c r="F45" i="73"/>
  <c r="F48" i="73"/>
  <c r="F57" i="73"/>
  <c r="E86" i="73"/>
  <c r="F94" i="73"/>
  <c r="E112" i="73"/>
  <c r="E39" i="73"/>
  <c r="E13" i="73"/>
  <c r="F54" i="73"/>
  <c r="E47" i="73"/>
  <c r="E120" i="73"/>
  <c r="K142" i="60"/>
  <c r="K141" i="60"/>
  <c r="L141" i="60"/>
  <c r="L142" i="60"/>
  <c r="J142" i="60"/>
  <c r="J141" i="60"/>
  <c r="I142" i="60"/>
  <c r="I141" i="60"/>
  <c r="H141" i="60"/>
  <c r="H142" i="60"/>
  <c r="C142" i="60"/>
  <c r="C141" i="60"/>
  <c r="G141" i="60"/>
  <c r="G142" i="60"/>
  <c r="N141" i="60"/>
  <c r="N142" i="60"/>
  <c r="F142" i="60"/>
  <c r="F141" i="60"/>
  <c r="D141" i="60"/>
  <c r="D142" i="60"/>
  <c r="M141" i="60"/>
  <c r="M142" i="60"/>
  <c r="E141" i="60"/>
  <c r="E142" i="60"/>
  <c r="H82" i="74"/>
  <c r="H107" i="74"/>
  <c r="H99" i="74"/>
  <c r="H115" i="74"/>
  <c r="F6" i="73"/>
  <c r="E68" i="73"/>
  <c r="E69" i="73"/>
  <c r="E76" i="73"/>
  <c r="E77" i="73"/>
  <c r="E78" i="73"/>
  <c r="E104" i="73"/>
  <c r="E105" i="73"/>
  <c r="E114" i="73"/>
  <c r="E24" i="73"/>
  <c r="E14" i="73"/>
  <c r="E28" i="73"/>
  <c r="F29" i="73"/>
  <c r="E70" i="73"/>
  <c r="F79" i="73"/>
  <c r="E80" i="73"/>
  <c r="F87" i="73"/>
  <c r="E88" i="73"/>
  <c r="F89" i="73"/>
  <c r="E106" i="73"/>
  <c r="F115" i="73"/>
  <c r="E4" i="73"/>
  <c r="E16" i="73"/>
  <c r="E8" i="73"/>
  <c r="F30" i="73"/>
  <c r="E31" i="73"/>
  <c r="E32" i="73"/>
  <c r="F35" i="73"/>
  <c r="E36" i="73"/>
  <c r="E52" i="73"/>
  <c r="E53" i="73"/>
  <c r="E60" i="73"/>
  <c r="E61" i="73"/>
  <c r="E62" i="73"/>
  <c r="F71" i="73"/>
  <c r="E72" i="73"/>
  <c r="F73" i="73"/>
  <c r="E97" i="73"/>
  <c r="F98" i="73"/>
  <c r="E99" i="73"/>
  <c r="F107" i="73"/>
  <c r="F27" i="73"/>
  <c r="E7" i="73"/>
  <c r="E15" i="73"/>
  <c r="E9" i="73"/>
  <c r="F19" i="73"/>
  <c r="E20" i="73"/>
  <c r="F43" i="73"/>
  <c r="E44" i="73"/>
  <c r="F63" i="73"/>
  <c r="E64" i="73"/>
  <c r="F100" i="73"/>
  <c r="E101" i="73"/>
  <c r="H132" i="73"/>
  <c r="H144" i="73" s="1"/>
  <c r="H64" i="73"/>
  <c r="H76" i="73" s="1"/>
  <c r="H88" i="73" s="1"/>
  <c r="H100" i="73" s="1"/>
  <c r="H112" i="73" s="1"/>
  <c r="H124" i="73" s="1"/>
  <c r="H136" i="73" s="1"/>
  <c r="F42" i="73"/>
  <c r="E42" i="73"/>
  <c r="F25" i="73"/>
  <c r="E25" i="73"/>
  <c r="F26" i="73"/>
  <c r="E26" i="73"/>
  <c r="F49" i="73"/>
  <c r="E49" i="73"/>
  <c r="E50" i="73"/>
  <c r="F50" i="73"/>
  <c r="F91" i="73"/>
  <c r="E91" i="73"/>
  <c r="F11" i="73"/>
  <c r="E11" i="73"/>
  <c r="F41" i="73"/>
  <c r="E41" i="73"/>
  <c r="F17" i="73"/>
  <c r="E17" i="73"/>
  <c r="H118" i="73"/>
  <c r="H130" i="73" s="1"/>
  <c r="H142" i="73" s="1"/>
  <c r="F18" i="73"/>
  <c r="E18" i="73"/>
  <c r="F33" i="73"/>
  <c r="E33" i="73"/>
  <c r="F34" i="73"/>
  <c r="E34" i="73"/>
  <c r="F5" i="73"/>
  <c r="E5" i="73"/>
  <c r="F58" i="73"/>
  <c r="E58" i="73"/>
  <c r="F117" i="73"/>
  <c r="E117" i="73"/>
  <c r="F59" i="73"/>
  <c r="E59" i="73"/>
  <c r="F75" i="73"/>
  <c r="E75" i="73"/>
  <c r="F95" i="73"/>
  <c r="E95" i="73"/>
  <c r="F51" i="73"/>
  <c r="E51" i="73"/>
  <c r="F96" i="73"/>
  <c r="E96" i="73"/>
  <c r="F118" i="73"/>
  <c r="E118" i="73"/>
  <c r="F119" i="73"/>
  <c r="E119" i="73"/>
  <c r="F74" i="73"/>
  <c r="E74" i="73"/>
  <c r="F103" i="73"/>
  <c r="E103" i="73"/>
  <c r="F65" i="73"/>
  <c r="F81" i="73"/>
  <c r="F109" i="73"/>
  <c r="E109" i="73"/>
  <c r="F102" i="73"/>
  <c r="E102" i="73"/>
  <c r="F66" i="73"/>
  <c r="E66" i="73"/>
  <c r="F82" i="73"/>
  <c r="E82" i="73"/>
  <c r="F67" i="73"/>
  <c r="E67" i="73"/>
  <c r="F83" i="73"/>
  <c r="E83" i="73"/>
  <c r="F110" i="73"/>
  <c r="E110" i="73"/>
  <c r="F111" i="73"/>
  <c r="E111" i="73"/>
  <c r="F90" i="73"/>
  <c r="E90" i="73"/>
  <c r="E108" i="73"/>
  <c r="E116" i="73"/>
  <c r="H35" i="9"/>
  <c r="C651" i="60" l="1"/>
  <c r="H119" i="74"/>
  <c r="H127" i="74"/>
  <c r="H94" i="74"/>
  <c r="H111" i="74"/>
  <c r="C96" i="60" a="1"/>
  <c r="C96" i="60" s="1"/>
  <c r="C112" i="60" l="1" a="1"/>
  <c r="C112" i="60" s="1"/>
  <c r="C111" i="60" a="1"/>
  <c r="C111" i="60" s="1"/>
  <c r="H139" i="74"/>
  <c r="H106" i="74"/>
  <c r="H123" i="74"/>
  <c r="H131" i="74"/>
  <c r="C97" i="60" l="1" a="1"/>
  <c r="C97" i="60" s="1"/>
  <c r="H143" i="74"/>
  <c r="H135" i="74"/>
  <c r="H118" i="74"/>
  <c r="A10" i="18"/>
  <c r="A24" i="18" s="1"/>
  <c r="A11" i="18"/>
  <c r="A25" i="18" s="1"/>
  <c r="A12" i="18"/>
  <c r="A13" i="18"/>
  <c r="A33" i="9"/>
  <c r="A37" i="9" s="1"/>
  <c r="A41" i="9" s="1"/>
  <c r="A32" i="9"/>
  <c r="A36" i="9" s="1"/>
  <c r="A40" i="9" s="1"/>
  <c r="A3" i="18"/>
  <c r="A4" i="18"/>
  <c r="A5" i="18"/>
  <c r="A6" i="18"/>
  <c r="A7" i="18"/>
  <c r="A8" i="18"/>
  <c r="A9" i="18"/>
  <c r="A2" i="18"/>
  <c r="H130" i="74" l="1"/>
  <c r="A16" i="18"/>
  <c r="A23" i="18"/>
  <c r="A22" i="18"/>
  <c r="A21" i="18"/>
  <c r="A20" i="18"/>
  <c r="A19" i="18"/>
  <c r="A18" i="18"/>
  <c r="A17" i="18"/>
  <c r="H142" i="74" l="1"/>
  <c r="P195" i="60" l="1"/>
  <c r="P194" i="60" l="1"/>
  <c r="P193" i="60" l="1"/>
  <c r="P192" i="60" l="1"/>
  <c r="P191" i="60" l="1"/>
  <c r="B59" i="60"/>
  <c r="O16" i="60"/>
  <c r="L3" i="9"/>
  <c r="B33" i="11" l="1"/>
  <c r="F11" i="17"/>
  <c r="G262" i="60" s="1"/>
  <c r="F20" i="17"/>
  <c r="F58" i="17" s="1"/>
  <c r="G20" i="17"/>
  <c r="G58" i="17" s="1"/>
  <c r="G18" i="17"/>
  <c r="G16" i="17"/>
  <c r="G14" i="17"/>
  <c r="G12" i="17"/>
  <c r="C37" i="11" s="1"/>
  <c r="F19" i="17"/>
  <c r="F18" i="17"/>
  <c r="F17" i="17"/>
  <c r="F16" i="17"/>
  <c r="F15" i="17"/>
  <c r="F14" i="17"/>
  <c r="F13" i="17"/>
  <c r="F12" i="17"/>
  <c r="C32" i="11" s="1"/>
  <c r="G11" i="17"/>
  <c r="B37" i="11" s="1"/>
  <c r="G19" i="17"/>
  <c r="G17" i="17"/>
  <c r="G15" i="17"/>
  <c r="G13" i="17"/>
  <c r="D2" i="18"/>
  <c r="D16" i="18" s="1"/>
  <c r="J3" i="9"/>
  <c r="J4" i="9"/>
  <c r="K3" i="9"/>
  <c r="K4" i="9"/>
  <c r="M3" i="9"/>
  <c r="B2" i="18"/>
  <c r="B3" i="18"/>
  <c r="B6" i="18"/>
  <c r="B7" i="18"/>
  <c r="B9" i="18"/>
  <c r="B11" i="18"/>
  <c r="C2" i="18"/>
  <c r="C3" i="18"/>
  <c r="C4" i="18"/>
  <c r="C5" i="18"/>
  <c r="C6" i="18"/>
  <c r="C7" i="18"/>
  <c r="C8" i="18"/>
  <c r="C9" i="18"/>
  <c r="C10" i="18"/>
  <c r="C11" i="18"/>
  <c r="B4" i="18"/>
  <c r="B5" i="18"/>
  <c r="B8" i="18"/>
  <c r="B10" i="18"/>
  <c r="D11" i="18"/>
  <c r="D10" i="18"/>
  <c r="D9" i="18"/>
  <c r="D8" i="18"/>
  <c r="D7" i="18"/>
  <c r="D6" i="18"/>
  <c r="D5" i="18"/>
  <c r="D4" i="18"/>
  <c r="D3" i="18"/>
  <c r="H3" i="9"/>
  <c r="H4" i="9"/>
  <c r="M4" i="9"/>
  <c r="I3" i="9"/>
  <c r="I4" i="9"/>
  <c r="B32" i="11"/>
  <c r="L4" i="9"/>
  <c r="E38" i="60"/>
  <c r="E319" i="60" s="1"/>
  <c r="G38" i="60"/>
  <c r="E336" i="60" s="1"/>
  <c r="H38" i="60"/>
  <c r="G336" i="60" s="1"/>
  <c r="F38" i="60"/>
  <c r="G319" i="60" s="1"/>
  <c r="J38" i="60"/>
  <c r="G353" i="60" s="1"/>
  <c r="D38" i="60"/>
  <c r="E302" i="60" s="1"/>
  <c r="K38" i="60"/>
  <c r="E370" i="60" s="1"/>
  <c r="C38" i="60"/>
  <c r="E285" i="60" s="1"/>
  <c r="I38" i="60"/>
  <c r="E353" i="60" s="1"/>
  <c r="P190" i="60"/>
  <c r="B58" i="60"/>
  <c r="O15" i="60"/>
  <c r="C19" i="11" l="1"/>
  <c r="B23" i="11"/>
  <c r="C38" i="11"/>
  <c r="H263" i="60"/>
  <c r="B19" i="11"/>
  <c r="H262" i="60"/>
  <c r="C28" i="11"/>
  <c r="B28" i="11"/>
  <c r="B15" i="11"/>
  <c r="C33" i="11"/>
  <c r="G263" i="60"/>
  <c r="C23" i="11"/>
  <c r="B38" i="11"/>
  <c r="B16" i="18"/>
  <c r="B17" i="18"/>
  <c r="C16" i="18"/>
  <c r="C17" i="18"/>
  <c r="K29" i="11"/>
  <c r="E10" i="18"/>
  <c r="J47" i="11" s="1"/>
  <c r="J24" i="11"/>
  <c r="K34" i="11"/>
  <c r="G3" i="9"/>
  <c r="J29" i="11"/>
  <c r="K24" i="11"/>
  <c r="E11" i="18"/>
  <c r="K47" i="11" s="1"/>
  <c r="D17" i="18"/>
  <c r="J34" i="11"/>
  <c r="C15" i="11"/>
  <c r="G4" i="9"/>
  <c r="M38" i="60"/>
  <c r="L38" i="60"/>
  <c r="P189" i="60"/>
  <c r="B57" i="60"/>
  <c r="O14" i="60"/>
  <c r="B42" i="11" l="1"/>
  <c r="C42" i="11"/>
  <c r="C10" i="11"/>
  <c r="C11" i="11" s="1"/>
  <c r="C46" i="11"/>
  <c r="K43" i="11"/>
  <c r="B10" i="11"/>
  <c r="B46" i="11"/>
  <c r="J43" i="11"/>
  <c r="P188" i="60"/>
  <c r="B56" i="60"/>
  <c r="O13" i="60"/>
  <c r="B11" i="11" l="1"/>
  <c r="P187" i="60"/>
  <c r="B55" i="60"/>
  <c r="O12" i="60"/>
  <c r="B54" i="60" l="1"/>
  <c r="O11" i="60"/>
  <c r="B37" i="60"/>
  <c r="B53" i="60" l="1"/>
  <c r="O10" i="60"/>
  <c r="C37" i="60"/>
  <c r="E284" i="60" s="1"/>
  <c r="K37" i="60"/>
  <c r="E369" i="60" s="1"/>
  <c r="D37" i="60"/>
  <c r="E301" i="60" s="1"/>
  <c r="F37" i="60"/>
  <c r="G318" i="60" s="1"/>
  <c r="E37" i="60"/>
  <c r="E318" i="60" s="1"/>
  <c r="G37" i="60"/>
  <c r="E335" i="60" s="1"/>
  <c r="H37" i="60"/>
  <c r="G335" i="60" s="1"/>
  <c r="I37" i="60"/>
  <c r="E352" i="60" s="1"/>
  <c r="J37" i="60"/>
  <c r="G352" i="60" s="1"/>
  <c r="B36" i="60"/>
  <c r="F336" i="60" l="1"/>
  <c r="F302" i="60"/>
  <c r="F370" i="60"/>
  <c r="F319" i="60"/>
  <c r="F285" i="60"/>
  <c r="H319" i="60"/>
  <c r="F353" i="60"/>
  <c r="H353" i="60"/>
  <c r="H336" i="60"/>
  <c r="B52" i="60"/>
  <c r="L37" i="60"/>
  <c r="O9" i="60"/>
  <c r="M37" i="60"/>
  <c r="D36" i="60"/>
  <c r="E300" i="60" s="1"/>
  <c r="E36" i="60"/>
  <c r="E317" i="60" s="1"/>
  <c r="F318" i="60" s="1"/>
  <c r="J36" i="60"/>
  <c r="G351" i="60" s="1"/>
  <c r="H352" i="60" s="1"/>
  <c r="F36" i="60"/>
  <c r="G317" i="60" s="1"/>
  <c r="H318" i="60" s="1"/>
  <c r="G36" i="60"/>
  <c r="E334" i="60" s="1"/>
  <c r="H36" i="60"/>
  <c r="G334" i="60" s="1"/>
  <c r="I36" i="60"/>
  <c r="E351" i="60" s="1"/>
  <c r="C36" i="60"/>
  <c r="E283" i="60" s="1"/>
  <c r="K36" i="60"/>
  <c r="E368" i="60" s="1"/>
  <c r="B35" i="60"/>
  <c r="B4" i="61"/>
  <c r="B5" i="61"/>
  <c r="B6" i="61"/>
  <c r="B7" i="61"/>
  <c r="B8" i="61"/>
  <c r="B9" i="61"/>
  <c r="B10" i="61"/>
  <c r="B11" i="61"/>
  <c r="B12" i="61"/>
  <c r="B13" i="61"/>
  <c r="B14" i="61"/>
  <c r="B15" i="61"/>
  <c r="B16" i="61"/>
  <c r="B17" i="61"/>
  <c r="B18" i="61"/>
  <c r="B19" i="61"/>
  <c r="B20" i="61"/>
  <c r="B21" i="61"/>
  <c r="B22" i="61"/>
  <c r="B23" i="61"/>
  <c r="B24" i="61"/>
  <c r="B25" i="61"/>
  <c r="B26" i="61"/>
  <c r="B27" i="61"/>
  <c r="B28" i="61"/>
  <c r="B29" i="61"/>
  <c r="B30" i="61"/>
  <c r="B31" i="61"/>
  <c r="B32" i="61"/>
  <c r="B33" i="61"/>
  <c r="B34" i="61"/>
  <c r="B35" i="61"/>
  <c r="B36" i="61"/>
  <c r="B37" i="61"/>
  <c r="B38" i="61"/>
  <c r="B39" i="61"/>
  <c r="B40" i="61"/>
  <c r="B41" i="61"/>
  <c r="B42" i="61"/>
  <c r="B43" i="61"/>
  <c r="B44" i="61"/>
  <c r="B45" i="61"/>
  <c r="B46" i="61"/>
  <c r="B47" i="61"/>
  <c r="B48" i="61"/>
  <c r="B49" i="61"/>
  <c r="B50" i="61"/>
  <c r="B51" i="61"/>
  <c r="B52" i="61"/>
  <c r="B53" i="61"/>
  <c r="B54" i="61"/>
  <c r="B55" i="61"/>
  <c r="B56" i="61"/>
  <c r="B57" i="61"/>
  <c r="B58" i="61"/>
  <c r="B59" i="61"/>
  <c r="B60" i="61"/>
  <c r="B61" i="61"/>
  <c r="B62" i="61"/>
  <c r="B63" i="61"/>
  <c r="B64" i="61"/>
  <c r="B65" i="61"/>
  <c r="B66" i="61"/>
  <c r="B67" i="61"/>
  <c r="B68" i="61"/>
  <c r="B69" i="61"/>
  <c r="B70" i="61"/>
  <c r="B71" i="61"/>
  <c r="B72" i="61"/>
  <c r="B73" i="61"/>
  <c r="B74" i="61"/>
  <c r="B75" i="61"/>
  <c r="B76" i="61"/>
  <c r="B77" i="61"/>
  <c r="B78" i="61"/>
  <c r="B79" i="61"/>
  <c r="B80" i="61"/>
  <c r="B81" i="61"/>
  <c r="B82" i="61"/>
  <c r="B83" i="61"/>
  <c r="B84" i="61"/>
  <c r="B85" i="61"/>
  <c r="B86" i="61"/>
  <c r="B87" i="61"/>
  <c r="B88" i="61"/>
  <c r="B89" i="61"/>
  <c r="B90" i="61"/>
  <c r="B91" i="61"/>
  <c r="B92" i="61"/>
  <c r="B93" i="61"/>
  <c r="B94" i="61"/>
  <c r="B95" i="61"/>
  <c r="B96" i="61"/>
  <c r="B97" i="61"/>
  <c r="B98" i="61"/>
  <c r="B99" i="61"/>
  <c r="B100" i="61"/>
  <c r="B101" i="61"/>
  <c r="B102" i="61"/>
  <c r="B103" i="61"/>
  <c r="B104" i="61"/>
  <c r="B105" i="61"/>
  <c r="B106" i="61"/>
  <c r="B107" i="61"/>
  <c r="B108" i="61"/>
  <c r="B109" i="61"/>
  <c r="B110" i="61"/>
  <c r="B111" i="61"/>
  <c r="B112" i="61"/>
  <c r="B113" i="61"/>
  <c r="B114" i="61"/>
  <c r="B115" i="61"/>
  <c r="B116" i="61"/>
  <c r="B117" i="61"/>
  <c r="B118" i="61"/>
  <c r="B119" i="61"/>
  <c r="B120" i="61"/>
  <c r="B121" i="61"/>
  <c r="B122" i="61"/>
  <c r="B123" i="61"/>
  <c r="B124" i="61"/>
  <c r="B125" i="61"/>
  <c r="B126" i="61"/>
  <c r="B127" i="61"/>
  <c r="B128" i="61"/>
  <c r="B129" i="61"/>
  <c r="B130" i="61"/>
  <c r="B131" i="61"/>
  <c r="B132" i="61"/>
  <c r="B133" i="61"/>
  <c r="B134" i="61"/>
  <c r="B135" i="61"/>
  <c r="B136" i="61"/>
  <c r="B137" i="61"/>
  <c r="B138" i="61"/>
  <c r="B139" i="61"/>
  <c r="B140" i="61"/>
  <c r="B141" i="61"/>
  <c r="B142" i="61"/>
  <c r="B143" i="61"/>
  <c r="B144" i="61"/>
  <c r="B145" i="61"/>
  <c r="B146" i="61"/>
  <c r="B3" i="61"/>
  <c r="F352" i="60" l="1"/>
  <c r="F369" i="60"/>
  <c r="F301" i="60"/>
  <c r="H335" i="60"/>
  <c r="F284" i="60"/>
  <c r="F335" i="60"/>
  <c r="D19" i="17"/>
  <c r="E11" i="17"/>
  <c r="F262" i="60" s="1"/>
  <c r="E19" i="17"/>
  <c r="E17" i="17"/>
  <c r="E15" i="17"/>
  <c r="E13" i="17"/>
  <c r="M2" i="17"/>
  <c r="D15" i="17"/>
  <c r="B11" i="17"/>
  <c r="C262" i="60" s="1"/>
  <c r="C11" i="17"/>
  <c r="D262" i="60" s="1"/>
  <c r="D11" i="17"/>
  <c r="D20" i="17"/>
  <c r="D58" i="17" s="1"/>
  <c r="D18" i="17"/>
  <c r="D16" i="17"/>
  <c r="D14" i="17"/>
  <c r="D12" i="17"/>
  <c r="E263" i="60" s="1"/>
  <c r="D17" i="17"/>
  <c r="E20" i="17"/>
  <c r="E58" i="17" s="1"/>
  <c r="E18" i="17"/>
  <c r="E16" i="17"/>
  <c r="E14" i="17"/>
  <c r="E12" i="17"/>
  <c r="D13" i="17"/>
  <c r="B20" i="17"/>
  <c r="B19" i="17"/>
  <c r="J14" i="11" s="1"/>
  <c r="B18" i="17"/>
  <c r="I14" i="11" s="1"/>
  <c r="B17" i="17"/>
  <c r="H14" i="11" s="1"/>
  <c r="B16" i="17"/>
  <c r="B15" i="17"/>
  <c r="F14" i="11" s="1"/>
  <c r="B14" i="17"/>
  <c r="E14" i="11" s="1"/>
  <c r="B13" i="17"/>
  <c r="D14" i="11" s="1"/>
  <c r="B12" i="17"/>
  <c r="C20" i="17"/>
  <c r="C58" i="17" s="1"/>
  <c r="C19" i="17"/>
  <c r="C18" i="17"/>
  <c r="C17" i="17"/>
  <c r="C16" i="17"/>
  <c r="C15" i="17"/>
  <c r="C14" i="17"/>
  <c r="C13" i="17"/>
  <c r="C12" i="17"/>
  <c r="B51" i="60"/>
  <c r="L36" i="60"/>
  <c r="O8" i="60"/>
  <c r="M36" i="60"/>
  <c r="E35" i="60"/>
  <c r="E316" i="60" s="1"/>
  <c r="F317" i="60" s="1"/>
  <c r="F35" i="60"/>
  <c r="G316" i="60" s="1"/>
  <c r="H35" i="60"/>
  <c r="G333" i="60" s="1"/>
  <c r="H334" i="60" s="1"/>
  <c r="G35" i="60"/>
  <c r="E333" i="60" s="1"/>
  <c r="K35" i="60"/>
  <c r="E367" i="60" s="1"/>
  <c r="I35" i="60"/>
  <c r="E350" i="60" s="1"/>
  <c r="F351" i="60" s="1"/>
  <c r="J35" i="60"/>
  <c r="G350" i="60" s="1"/>
  <c r="H351" i="60" s="1"/>
  <c r="D35" i="60"/>
  <c r="E299" i="60" s="1"/>
  <c r="C35" i="60"/>
  <c r="E282" i="60" s="1"/>
  <c r="F283" i="60" s="1"/>
  <c r="B34" i="60"/>
  <c r="B58" i="17" l="1"/>
  <c r="B18" i="11"/>
  <c r="M3" i="17"/>
  <c r="B36" i="17"/>
  <c r="G14" i="11"/>
  <c r="B30" i="17"/>
  <c r="B27" i="11"/>
  <c r="B14" i="11"/>
  <c r="C22" i="11"/>
  <c r="C256" i="60"/>
  <c r="C18" i="11"/>
  <c r="D263" i="60"/>
  <c r="C14" i="11"/>
  <c r="C263" i="60"/>
  <c r="C27" i="11"/>
  <c r="F263" i="60"/>
  <c r="C257" i="60"/>
  <c r="B22" i="11"/>
  <c r="E262" i="60"/>
  <c r="I262" i="60" s="1"/>
  <c r="H317" i="60"/>
  <c r="F300" i="60"/>
  <c r="F334" i="60"/>
  <c r="F368" i="60"/>
  <c r="K14" i="11"/>
  <c r="L35" i="60"/>
  <c r="F34" i="60"/>
  <c r="G315" i="60" s="1"/>
  <c r="H316" i="60" s="1"/>
  <c r="D34" i="60"/>
  <c r="E298" i="60" s="1"/>
  <c r="G34" i="60"/>
  <c r="E332" i="60" s="1"/>
  <c r="I34" i="60"/>
  <c r="E349" i="60" s="1"/>
  <c r="H34" i="60"/>
  <c r="G332" i="60" s="1"/>
  <c r="J34" i="60"/>
  <c r="G349" i="60" s="1"/>
  <c r="C34" i="60"/>
  <c r="E281" i="60" s="1"/>
  <c r="F282" i="60" s="1"/>
  <c r="K34" i="60"/>
  <c r="E366" i="60" s="1"/>
  <c r="E34" i="60"/>
  <c r="E315" i="60" s="1"/>
  <c r="F316" i="60" s="1"/>
  <c r="M35" i="60"/>
  <c r="B33" i="60"/>
  <c r="B41" i="11" l="1"/>
  <c r="C41" i="11"/>
  <c r="I263" i="60"/>
  <c r="F350" i="60"/>
  <c r="H350" i="60"/>
  <c r="F333" i="60"/>
  <c r="H333" i="60"/>
  <c r="F299" i="60"/>
  <c r="F367" i="60"/>
  <c r="L34" i="60"/>
  <c r="G33" i="60"/>
  <c r="E331" i="60" s="1"/>
  <c r="F332" i="60" s="1"/>
  <c r="H33" i="60"/>
  <c r="G331" i="60" s="1"/>
  <c r="E33" i="60"/>
  <c r="E314" i="60" s="1"/>
  <c r="F315" i="60" s="1"/>
  <c r="I33" i="60"/>
  <c r="E348" i="60" s="1"/>
  <c r="J33" i="60"/>
  <c r="G348" i="60" s="1"/>
  <c r="C33" i="60"/>
  <c r="E280" i="60" s="1"/>
  <c r="K33" i="60"/>
  <c r="E365" i="60" s="1"/>
  <c r="D33" i="60"/>
  <c r="E297" i="60" s="1"/>
  <c r="F33" i="60"/>
  <c r="G314" i="60" s="1"/>
  <c r="M34" i="60"/>
  <c r="B32" i="60"/>
  <c r="A146" i="61"/>
  <c r="A145" i="61"/>
  <c r="A144" i="61"/>
  <c r="A143" i="61"/>
  <c r="A142" i="61"/>
  <c r="A141" i="61"/>
  <c r="A140" i="61"/>
  <c r="A139" i="61"/>
  <c r="A138" i="61"/>
  <c r="A137" i="61"/>
  <c r="A136" i="61"/>
  <c r="A135" i="61"/>
  <c r="A134" i="61"/>
  <c r="A133" i="61"/>
  <c r="A132" i="61"/>
  <c r="A131" i="61"/>
  <c r="A130" i="61"/>
  <c r="A129" i="61"/>
  <c r="A128" i="61"/>
  <c r="A127" i="61"/>
  <c r="A126" i="61"/>
  <c r="A125" i="61"/>
  <c r="A124" i="61"/>
  <c r="A123" i="61"/>
  <c r="A122" i="61"/>
  <c r="A121" i="61"/>
  <c r="A120" i="61"/>
  <c r="A119" i="61"/>
  <c r="A118" i="61"/>
  <c r="A117" i="61"/>
  <c r="A116" i="61"/>
  <c r="A115" i="61"/>
  <c r="A114" i="61"/>
  <c r="A113" i="61"/>
  <c r="A112" i="61"/>
  <c r="A111" i="61"/>
  <c r="A110" i="61"/>
  <c r="A109" i="61"/>
  <c r="A108" i="61"/>
  <c r="A107" i="61"/>
  <c r="A106" i="61"/>
  <c r="A105" i="61"/>
  <c r="A104" i="61"/>
  <c r="A103" i="61"/>
  <c r="A102" i="61"/>
  <c r="A101" i="61"/>
  <c r="A100" i="61"/>
  <c r="A99" i="61"/>
  <c r="A98" i="61"/>
  <c r="A97" i="61"/>
  <c r="A96" i="61"/>
  <c r="A95" i="61"/>
  <c r="A94" i="61"/>
  <c r="A93" i="61"/>
  <c r="A92" i="61"/>
  <c r="A91" i="61"/>
  <c r="A90" i="61"/>
  <c r="A89" i="61"/>
  <c r="A88" i="61"/>
  <c r="A87" i="61"/>
  <c r="A86" i="61"/>
  <c r="A85" i="61"/>
  <c r="A84" i="61"/>
  <c r="A83" i="61"/>
  <c r="A82" i="61"/>
  <c r="A81" i="61"/>
  <c r="A80" i="61"/>
  <c r="A79" i="61"/>
  <c r="A78" i="61"/>
  <c r="A77" i="61"/>
  <c r="A76" i="61"/>
  <c r="A75" i="61"/>
  <c r="A74" i="61"/>
  <c r="A73" i="61"/>
  <c r="A72" i="61"/>
  <c r="A71" i="61"/>
  <c r="A70" i="61"/>
  <c r="A69" i="61"/>
  <c r="A68" i="61"/>
  <c r="A67" i="61"/>
  <c r="A66" i="61"/>
  <c r="A65" i="61"/>
  <c r="A64" i="61"/>
  <c r="A63" i="61"/>
  <c r="A62" i="61"/>
  <c r="A61" i="61"/>
  <c r="A60" i="61"/>
  <c r="A59" i="61"/>
  <c r="A58" i="61"/>
  <c r="A57" i="61"/>
  <c r="A56" i="61"/>
  <c r="A55" i="61"/>
  <c r="A54" i="61"/>
  <c r="A53" i="61"/>
  <c r="A52" i="61"/>
  <c r="A51" i="61"/>
  <c r="A50" i="61"/>
  <c r="A49" i="61"/>
  <c r="A48" i="61"/>
  <c r="A47" i="61"/>
  <c r="A46" i="61"/>
  <c r="A45" i="61"/>
  <c r="A44" i="61"/>
  <c r="A43" i="61"/>
  <c r="A42" i="61"/>
  <c r="A41" i="61"/>
  <c r="A40" i="61"/>
  <c r="A39" i="61"/>
  <c r="A38" i="61"/>
  <c r="A37" i="61"/>
  <c r="A36" i="61"/>
  <c r="A35" i="61"/>
  <c r="A34" i="61"/>
  <c r="A33" i="61"/>
  <c r="A32" i="61"/>
  <c r="A31" i="61"/>
  <c r="A30" i="61"/>
  <c r="A29" i="61"/>
  <c r="A28" i="61"/>
  <c r="A27" i="61"/>
  <c r="A26" i="61"/>
  <c r="A25" i="61"/>
  <c r="A24" i="61"/>
  <c r="A23" i="61"/>
  <c r="A22" i="61"/>
  <c r="A21" i="61"/>
  <c r="A20" i="61"/>
  <c r="A19" i="61"/>
  <c r="A18" i="61"/>
  <c r="A17" i="61"/>
  <c r="A16" i="61"/>
  <c r="A15" i="61"/>
  <c r="A14" i="61"/>
  <c r="A13" i="61"/>
  <c r="A12" i="61"/>
  <c r="A11" i="61"/>
  <c r="A10" i="61"/>
  <c r="A9" i="61"/>
  <c r="A8" i="61"/>
  <c r="A7" i="61"/>
  <c r="A6" i="61"/>
  <c r="A5" i="61"/>
  <c r="A4" i="61"/>
  <c r="A3" i="61"/>
  <c r="F366" i="60" l="1"/>
  <c r="F298" i="60"/>
  <c r="F281" i="60"/>
  <c r="F349" i="60"/>
  <c r="H332" i="60"/>
  <c r="H315" i="60"/>
  <c r="H349" i="60"/>
  <c r="L33" i="60"/>
  <c r="M33" i="60"/>
  <c r="H32" i="60"/>
  <c r="G330" i="60" s="1"/>
  <c r="I32" i="60"/>
  <c r="E347" i="60" s="1"/>
  <c r="F348" i="60" s="1"/>
  <c r="C32" i="60"/>
  <c r="E279" i="60" s="1"/>
  <c r="K32" i="60"/>
  <c r="E364" i="60" s="1"/>
  <c r="J32" i="60"/>
  <c r="G347" i="60" s="1"/>
  <c r="H348" i="60" s="1"/>
  <c r="D32" i="60"/>
  <c r="E296" i="60" s="1"/>
  <c r="E32" i="60"/>
  <c r="E313" i="60" s="1"/>
  <c r="F32" i="60"/>
  <c r="G313" i="60" s="1"/>
  <c r="H314" i="60" s="1"/>
  <c r="G32" i="60"/>
  <c r="E330" i="60" s="1"/>
  <c r="F331" i="60" s="1"/>
  <c r="B31" i="60"/>
  <c r="B78" i="60"/>
  <c r="B77" i="60" s="1"/>
  <c r="D77" i="60" s="1"/>
  <c r="B34" i="17"/>
  <c r="C255" i="60" s="1"/>
  <c r="A27" i="17"/>
  <c r="A28" i="17"/>
  <c r="A29" i="17"/>
  <c r="A30" i="17"/>
  <c r="A31" i="17"/>
  <c r="A32" i="17"/>
  <c r="A33" i="17"/>
  <c r="A34" i="17"/>
  <c r="A26" i="17"/>
  <c r="B26" i="17"/>
  <c r="C247" i="60" l="1"/>
  <c r="H331" i="60"/>
  <c r="F280" i="60"/>
  <c r="F365" i="60"/>
  <c r="F314" i="60"/>
  <c r="F297" i="60"/>
  <c r="I93" i="73"/>
  <c r="I93" i="74"/>
  <c r="G55" i="73"/>
  <c r="G55" i="74"/>
  <c r="G13" i="73"/>
  <c r="G13" i="74"/>
  <c r="I102" i="73"/>
  <c r="I102" i="74"/>
  <c r="G48" i="73"/>
  <c r="G48" i="74"/>
  <c r="I22" i="73"/>
  <c r="I22" i="74"/>
  <c r="I103" i="73"/>
  <c r="I103" i="74"/>
  <c r="I87" i="73"/>
  <c r="I87" i="74"/>
  <c r="G81" i="73"/>
  <c r="G81" i="74"/>
  <c r="I71" i="73"/>
  <c r="I71" i="74"/>
  <c r="G65" i="73"/>
  <c r="G65" i="74"/>
  <c r="I55" i="73"/>
  <c r="I55" i="74"/>
  <c r="G49" i="73"/>
  <c r="G49" i="74"/>
  <c r="I39" i="73"/>
  <c r="I39" i="74"/>
  <c r="G33" i="73"/>
  <c r="G33" i="74"/>
  <c r="G23" i="73"/>
  <c r="G23" i="74"/>
  <c r="I17" i="73"/>
  <c r="I17" i="74"/>
  <c r="G7" i="73"/>
  <c r="G7" i="74"/>
  <c r="I146" i="73"/>
  <c r="I146" i="74"/>
  <c r="I138" i="73"/>
  <c r="I138" i="74"/>
  <c r="I130" i="73"/>
  <c r="I130" i="74"/>
  <c r="G122" i="73"/>
  <c r="G122" i="74"/>
  <c r="I112" i="73"/>
  <c r="I112" i="74"/>
  <c r="G106" i="73"/>
  <c r="G106" i="74"/>
  <c r="I96" i="73"/>
  <c r="I96" i="74"/>
  <c r="G90" i="73"/>
  <c r="G90" i="74"/>
  <c r="I80" i="73"/>
  <c r="I80" i="74"/>
  <c r="G74" i="73"/>
  <c r="G74" i="74"/>
  <c r="I64" i="73"/>
  <c r="I64" i="74"/>
  <c r="G58" i="73"/>
  <c r="G58" i="74"/>
  <c r="I48" i="73"/>
  <c r="I48" i="74"/>
  <c r="G42" i="73"/>
  <c r="G42" i="74"/>
  <c r="I32" i="73"/>
  <c r="I32" i="74"/>
  <c r="G26" i="73"/>
  <c r="G26" i="74"/>
  <c r="I16" i="73"/>
  <c r="I16" i="74"/>
  <c r="G10" i="73"/>
  <c r="G10" i="74"/>
  <c r="G125" i="73"/>
  <c r="G125" i="74"/>
  <c r="G71" i="73"/>
  <c r="G71" i="74"/>
  <c r="I23" i="73"/>
  <c r="I23" i="74"/>
  <c r="I7" i="73"/>
  <c r="I7" i="74"/>
  <c r="I70" i="73"/>
  <c r="I70" i="74"/>
  <c r="I38" i="73"/>
  <c r="I38" i="74"/>
  <c r="I125" i="73"/>
  <c r="I125" i="74"/>
  <c r="I81" i="73"/>
  <c r="I81" i="74"/>
  <c r="G59" i="73"/>
  <c r="G59" i="74"/>
  <c r="I49" i="73"/>
  <c r="I49" i="74"/>
  <c r="G43" i="73"/>
  <c r="G43" i="74"/>
  <c r="I33" i="73"/>
  <c r="I33" i="74"/>
  <c r="I27" i="73"/>
  <c r="I27" i="74"/>
  <c r="G17" i="73"/>
  <c r="G17" i="74"/>
  <c r="I11" i="73"/>
  <c r="I11" i="74"/>
  <c r="G144" i="73"/>
  <c r="G144" i="74"/>
  <c r="G136" i="73"/>
  <c r="G136" i="74"/>
  <c r="G128" i="73"/>
  <c r="G128" i="74"/>
  <c r="I122" i="73"/>
  <c r="I122" i="74"/>
  <c r="G116" i="73"/>
  <c r="G116" i="74"/>
  <c r="I106" i="73"/>
  <c r="I106" i="74"/>
  <c r="G100" i="73"/>
  <c r="G100" i="74"/>
  <c r="I90" i="73"/>
  <c r="I90" i="74"/>
  <c r="G84" i="73"/>
  <c r="G84" i="74"/>
  <c r="I74" i="73"/>
  <c r="I74" i="74"/>
  <c r="G68" i="73"/>
  <c r="G68" i="74"/>
  <c r="I58" i="73"/>
  <c r="I58" i="74"/>
  <c r="G52" i="73"/>
  <c r="G52" i="74"/>
  <c r="I42" i="73"/>
  <c r="I42" i="74"/>
  <c r="G36" i="73"/>
  <c r="G36" i="74"/>
  <c r="I26" i="73"/>
  <c r="I26" i="74"/>
  <c r="G20" i="73"/>
  <c r="G20" i="74"/>
  <c r="I10" i="73"/>
  <c r="I10" i="74"/>
  <c r="G4" i="73"/>
  <c r="G4" i="74"/>
  <c r="G141" i="73"/>
  <c r="G141" i="74"/>
  <c r="G103" i="73"/>
  <c r="G103" i="74"/>
  <c r="I29" i="73"/>
  <c r="I29" i="74"/>
  <c r="G112" i="73"/>
  <c r="G112" i="74"/>
  <c r="G96" i="73"/>
  <c r="G96" i="74"/>
  <c r="I141" i="73"/>
  <c r="I141" i="74"/>
  <c r="G139" i="73"/>
  <c r="G139" i="74"/>
  <c r="I97" i="73"/>
  <c r="I97" i="74"/>
  <c r="G101" i="73"/>
  <c r="G101" i="74"/>
  <c r="I75" i="73"/>
  <c r="I75" i="74"/>
  <c r="G53" i="73"/>
  <c r="G53" i="74"/>
  <c r="I43" i="73"/>
  <c r="I43" i="74"/>
  <c r="G37" i="73"/>
  <c r="G37" i="74"/>
  <c r="G27" i="73"/>
  <c r="G27" i="74"/>
  <c r="I21" i="73"/>
  <c r="I21" i="74"/>
  <c r="G11" i="73"/>
  <c r="G11" i="74"/>
  <c r="I5" i="73"/>
  <c r="I5" i="74"/>
  <c r="I144" i="73"/>
  <c r="I144" i="74"/>
  <c r="I136" i="73"/>
  <c r="I136" i="74"/>
  <c r="I128" i="73"/>
  <c r="I128" i="74"/>
  <c r="I116" i="73"/>
  <c r="I116" i="74"/>
  <c r="G110" i="73"/>
  <c r="G110" i="74"/>
  <c r="I100" i="73"/>
  <c r="I100" i="74"/>
  <c r="G94" i="73"/>
  <c r="G94" i="74"/>
  <c r="I84" i="73"/>
  <c r="I84" i="74"/>
  <c r="G78" i="73"/>
  <c r="G78" i="74"/>
  <c r="I68" i="73"/>
  <c r="I68" i="74"/>
  <c r="G62" i="73"/>
  <c r="G62" i="74"/>
  <c r="I52" i="73"/>
  <c r="I52" i="74"/>
  <c r="G46" i="73"/>
  <c r="G46" i="74"/>
  <c r="I36" i="73"/>
  <c r="I36" i="74"/>
  <c r="G30" i="73"/>
  <c r="G30" i="74"/>
  <c r="I20" i="73"/>
  <c r="I20" i="74"/>
  <c r="G14" i="73"/>
  <c r="G14" i="74"/>
  <c r="I4" i="73"/>
  <c r="I4" i="74"/>
  <c r="G87" i="73"/>
  <c r="G87" i="74"/>
  <c r="G39" i="73"/>
  <c r="G39" i="74"/>
  <c r="G146" i="73"/>
  <c r="G146" i="74"/>
  <c r="I86" i="73"/>
  <c r="I86" i="74"/>
  <c r="G113" i="73"/>
  <c r="G113" i="74"/>
  <c r="I113" i="73"/>
  <c r="I113" i="74"/>
  <c r="I65" i="73"/>
  <c r="I65" i="74"/>
  <c r="G117" i="73"/>
  <c r="G117" i="74"/>
  <c r="I91" i="73"/>
  <c r="I91" i="74"/>
  <c r="G145" i="73"/>
  <c r="G145" i="74"/>
  <c r="G129" i="73"/>
  <c r="G129" i="74"/>
  <c r="I117" i="73"/>
  <c r="I117" i="74"/>
  <c r="G111" i="73"/>
  <c r="G111" i="74"/>
  <c r="I101" i="73"/>
  <c r="I101" i="74"/>
  <c r="G95" i="73"/>
  <c r="G95" i="74"/>
  <c r="I85" i="73"/>
  <c r="I85" i="74"/>
  <c r="G79" i="73"/>
  <c r="G79" i="74"/>
  <c r="I69" i="73"/>
  <c r="I69" i="74"/>
  <c r="G63" i="73"/>
  <c r="G63" i="74"/>
  <c r="I53" i="73"/>
  <c r="I53" i="74"/>
  <c r="G47" i="73"/>
  <c r="G47" i="74"/>
  <c r="I37" i="73"/>
  <c r="I37" i="74"/>
  <c r="G31" i="73"/>
  <c r="G31" i="74"/>
  <c r="G21" i="73"/>
  <c r="G21" i="74"/>
  <c r="I15" i="73"/>
  <c r="I15" i="74"/>
  <c r="G5" i="73"/>
  <c r="G5" i="74"/>
  <c r="G142" i="73"/>
  <c r="G142" i="74"/>
  <c r="G134" i="73"/>
  <c r="G134" i="74"/>
  <c r="G126" i="73"/>
  <c r="G126" i="74"/>
  <c r="G120" i="73"/>
  <c r="G120" i="74"/>
  <c r="I110" i="73"/>
  <c r="I110" i="74"/>
  <c r="G104" i="73"/>
  <c r="G104" i="74"/>
  <c r="I94" i="73"/>
  <c r="I94" i="74"/>
  <c r="G88" i="73"/>
  <c r="G88" i="74"/>
  <c r="I78" i="73"/>
  <c r="I78" i="74"/>
  <c r="G72" i="73"/>
  <c r="G72" i="74"/>
  <c r="I62" i="73"/>
  <c r="I62" i="74"/>
  <c r="G56" i="73"/>
  <c r="G56" i="74"/>
  <c r="I46" i="73"/>
  <c r="I46" i="74"/>
  <c r="G40" i="73"/>
  <c r="G40" i="74"/>
  <c r="I30" i="73"/>
  <c r="I30" i="74"/>
  <c r="G24" i="73"/>
  <c r="G24" i="74"/>
  <c r="I14" i="73"/>
  <c r="I14" i="74"/>
  <c r="G8" i="73"/>
  <c r="G8" i="74"/>
  <c r="G133" i="73"/>
  <c r="G133" i="74"/>
  <c r="I77" i="73"/>
  <c r="I77" i="74"/>
  <c r="G138" i="73"/>
  <c r="G138" i="74"/>
  <c r="I54" i="73"/>
  <c r="I54" i="74"/>
  <c r="G16" i="73"/>
  <c r="G16" i="74"/>
  <c r="G97" i="73"/>
  <c r="G97" i="74"/>
  <c r="G91" i="73"/>
  <c r="G91" i="74"/>
  <c r="I123" i="73"/>
  <c r="I123" i="74"/>
  <c r="G69" i="73"/>
  <c r="G69" i="74"/>
  <c r="I137" i="73"/>
  <c r="I137" i="74"/>
  <c r="G121" i="73"/>
  <c r="G121" i="74"/>
  <c r="I111" i="73"/>
  <c r="I111" i="74"/>
  <c r="G105" i="73"/>
  <c r="G105" i="74"/>
  <c r="I95" i="73"/>
  <c r="I95" i="74"/>
  <c r="G89" i="73"/>
  <c r="G89" i="74"/>
  <c r="I79" i="73"/>
  <c r="I79" i="74"/>
  <c r="G73" i="73"/>
  <c r="G73" i="74"/>
  <c r="I63" i="73"/>
  <c r="I63" i="74"/>
  <c r="G57" i="73"/>
  <c r="G57" i="74"/>
  <c r="I47" i="73"/>
  <c r="I47" i="74"/>
  <c r="G41" i="73"/>
  <c r="G41" i="74"/>
  <c r="I31" i="73"/>
  <c r="I31" i="74"/>
  <c r="I25" i="73"/>
  <c r="I25" i="74"/>
  <c r="G15" i="73"/>
  <c r="G15" i="74"/>
  <c r="I9" i="73"/>
  <c r="I9" i="74"/>
  <c r="I142" i="73"/>
  <c r="I142" i="74"/>
  <c r="I134" i="73"/>
  <c r="I134" i="74"/>
  <c r="I126" i="73"/>
  <c r="O126" i="73" s="1"/>
  <c r="P126" i="73" s="1"/>
  <c r="Q126" i="73" s="1"/>
  <c r="I126" i="74"/>
  <c r="I120" i="73"/>
  <c r="I120" i="74"/>
  <c r="G114" i="73"/>
  <c r="G114" i="74"/>
  <c r="I104" i="73"/>
  <c r="I104" i="74"/>
  <c r="G98" i="73"/>
  <c r="G98" i="74"/>
  <c r="I88" i="73"/>
  <c r="I88" i="74"/>
  <c r="G82" i="73"/>
  <c r="G82" i="74"/>
  <c r="I72" i="73"/>
  <c r="I72" i="74"/>
  <c r="G66" i="73"/>
  <c r="G66" i="74"/>
  <c r="I56" i="73"/>
  <c r="I56" i="74"/>
  <c r="G50" i="73"/>
  <c r="G50" i="74"/>
  <c r="I40" i="73"/>
  <c r="I40" i="74"/>
  <c r="G34" i="73"/>
  <c r="G34" i="74"/>
  <c r="I24" i="73"/>
  <c r="I24" i="74"/>
  <c r="G18" i="73"/>
  <c r="G18" i="74"/>
  <c r="I8" i="73"/>
  <c r="I8" i="74"/>
  <c r="G119" i="73"/>
  <c r="G119" i="74"/>
  <c r="I45" i="73"/>
  <c r="I45" i="74"/>
  <c r="G130" i="73"/>
  <c r="G130" i="74"/>
  <c r="G80" i="73"/>
  <c r="G80" i="74"/>
  <c r="G32" i="73"/>
  <c r="G32" i="74"/>
  <c r="I133" i="73"/>
  <c r="I133" i="74"/>
  <c r="G123" i="73"/>
  <c r="G123" i="74"/>
  <c r="G75" i="73"/>
  <c r="G75" i="74"/>
  <c r="I131" i="73"/>
  <c r="I131" i="74"/>
  <c r="G85" i="73"/>
  <c r="G85" i="74"/>
  <c r="I59" i="73"/>
  <c r="I59" i="74"/>
  <c r="I145" i="73"/>
  <c r="I145" i="74"/>
  <c r="G143" i="73"/>
  <c r="G143" i="74"/>
  <c r="I121" i="73"/>
  <c r="I121" i="74"/>
  <c r="I105" i="73"/>
  <c r="I105" i="74"/>
  <c r="G99" i="73"/>
  <c r="G99" i="74"/>
  <c r="I89" i="73"/>
  <c r="I89" i="74"/>
  <c r="G83" i="73"/>
  <c r="G83" i="74"/>
  <c r="I73" i="73"/>
  <c r="I73" i="74"/>
  <c r="G67" i="73"/>
  <c r="G67" i="74"/>
  <c r="I57" i="73"/>
  <c r="I57" i="74"/>
  <c r="G51" i="73"/>
  <c r="G51" i="74"/>
  <c r="I41" i="73"/>
  <c r="I41" i="74"/>
  <c r="G35" i="73"/>
  <c r="G35" i="74"/>
  <c r="G25" i="73"/>
  <c r="G25" i="74"/>
  <c r="I19" i="73"/>
  <c r="I19" i="74"/>
  <c r="G9" i="73"/>
  <c r="G9" i="74"/>
  <c r="I3" i="73"/>
  <c r="I3" i="74"/>
  <c r="G140" i="73"/>
  <c r="G140" i="74"/>
  <c r="G132" i="73"/>
  <c r="G132" i="74"/>
  <c r="G124" i="73"/>
  <c r="G124" i="74"/>
  <c r="I114" i="73"/>
  <c r="I114" i="74"/>
  <c r="G108" i="73"/>
  <c r="G108" i="74"/>
  <c r="I98" i="73"/>
  <c r="I98" i="74"/>
  <c r="G92" i="73"/>
  <c r="G92" i="74"/>
  <c r="I82" i="73"/>
  <c r="I82" i="74"/>
  <c r="G76" i="73"/>
  <c r="G76" i="74"/>
  <c r="I66" i="73"/>
  <c r="I66" i="74"/>
  <c r="G60" i="73"/>
  <c r="G60" i="74"/>
  <c r="I50" i="73"/>
  <c r="I50" i="74"/>
  <c r="G44" i="73"/>
  <c r="G44" i="74"/>
  <c r="I34" i="73"/>
  <c r="I34" i="74"/>
  <c r="G28" i="73"/>
  <c r="G28" i="74"/>
  <c r="I18" i="73"/>
  <c r="I18" i="74"/>
  <c r="G12" i="73"/>
  <c r="G12" i="74"/>
  <c r="I109" i="73"/>
  <c r="I109" i="74"/>
  <c r="I61" i="73"/>
  <c r="I61" i="74"/>
  <c r="I118" i="73"/>
  <c r="I118" i="74"/>
  <c r="G64" i="73"/>
  <c r="G64" i="74"/>
  <c r="I6" i="73"/>
  <c r="I6" i="74"/>
  <c r="I119" i="73"/>
  <c r="I119" i="74"/>
  <c r="G131" i="73"/>
  <c r="G131" i="74"/>
  <c r="G107" i="73"/>
  <c r="G107" i="74"/>
  <c r="I139" i="73"/>
  <c r="I139" i="74"/>
  <c r="I107" i="73"/>
  <c r="I107" i="74"/>
  <c r="G137" i="73"/>
  <c r="G137" i="74"/>
  <c r="I129" i="73"/>
  <c r="O129" i="73" s="1"/>
  <c r="P129" i="73" s="1"/>
  <c r="Q129" i="73" s="1"/>
  <c r="I129" i="74"/>
  <c r="G135" i="73"/>
  <c r="G135" i="74"/>
  <c r="G127" i="73"/>
  <c r="G127" i="74"/>
  <c r="G115" i="73"/>
  <c r="G115" i="74"/>
  <c r="I143" i="73"/>
  <c r="I143" i="74"/>
  <c r="I135" i="73"/>
  <c r="I135" i="74"/>
  <c r="I127" i="73"/>
  <c r="I127" i="74"/>
  <c r="I115" i="73"/>
  <c r="I115" i="74"/>
  <c r="G109" i="73"/>
  <c r="G109" i="74"/>
  <c r="I99" i="73"/>
  <c r="I99" i="74"/>
  <c r="G93" i="73"/>
  <c r="G93" i="74"/>
  <c r="I83" i="73"/>
  <c r="I83" i="74"/>
  <c r="G77" i="73"/>
  <c r="G77" i="74"/>
  <c r="I67" i="73"/>
  <c r="I67" i="74"/>
  <c r="G61" i="73"/>
  <c r="G61" i="74"/>
  <c r="I51" i="73"/>
  <c r="I51" i="74"/>
  <c r="G45" i="73"/>
  <c r="G45" i="74"/>
  <c r="I35" i="73"/>
  <c r="I35" i="74"/>
  <c r="G29" i="73"/>
  <c r="G29" i="74"/>
  <c r="G19" i="73"/>
  <c r="G19" i="74"/>
  <c r="I13" i="73"/>
  <c r="I13" i="74"/>
  <c r="G3" i="73"/>
  <c r="G3" i="74"/>
  <c r="I140" i="73"/>
  <c r="I140" i="74"/>
  <c r="I132" i="73"/>
  <c r="I132" i="74"/>
  <c r="I124" i="73"/>
  <c r="I124" i="74"/>
  <c r="G118" i="73"/>
  <c r="G118" i="74"/>
  <c r="I108" i="73"/>
  <c r="I108" i="74"/>
  <c r="G102" i="73"/>
  <c r="G102" i="74"/>
  <c r="I92" i="73"/>
  <c r="I92" i="74"/>
  <c r="G86" i="73"/>
  <c r="G86" i="74"/>
  <c r="I76" i="73"/>
  <c r="I76" i="74"/>
  <c r="G70" i="73"/>
  <c r="G70" i="74"/>
  <c r="I60" i="73"/>
  <c r="I60" i="74"/>
  <c r="G54" i="73"/>
  <c r="G54" i="74"/>
  <c r="I44" i="73"/>
  <c r="I44" i="74"/>
  <c r="G38" i="73"/>
  <c r="G38" i="74"/>
  <c r="I28" i="73"/>
  <c r="I28" i="74"/>
  <c r="G22" i="73"/>
  <c r="G22" i="74"/>
  <c r="I12" i="73"/>
  <c r="I12" i="74"/>
  <c r="G6" i="73"/>
  <c r="G6" i="74"/>
  <c r="D81" i="73"/>
  <c r="D81" i="74"/>
  <c r="D17" i="73"/>
  <c r="D17" i="74"/>
  <c r="D106" i="73"/>
  <c r="D106" i="74"/>
  <c r="D58" i="73"/>
  <c r="D58" i="74"/>
  <c r="D107" i="73"/>
  <c r="D107" i="74"/>
  <c r="D91" i="73"/>
  <c r="D91" i="74"/>
  <c r="D75" i="73"/>
  <c r="D75" i="74"/>
  <c r="D59" i="73"/>
  <c r="D59" i="74"/>
  <c r="D43" i="73"/>
  <c r="D43" i="74"/>
  <c r="D27" i="73"/>
  <c r="D27" i="74"/>
  <c r="D11" i="73"/>
  <c r="D11" i="74"/>
  <c r="D116" i="73"/>
  <c r="D116" i="74"/>
  <c r="D100" i="73"/>
  <c r="D100" i="74"/>
  <c r="D84" i="73"/>
  <c r="D84" i="74"/>
  <c r="D68" i="73"/>
  <c r="D68" i="74"/>
  <c r="D52" i="73"/>
  <c r="D52" i="74"/>
  <c r="D36" i="73"/>
  <c r="D36" i="74"/>
  <c r="D20" i="73"/>
  <c r="D20" i="74"/>
  <c r="D4" i="73"/>
  <c r="D4" i="74"/>
  <c r="D113" i="73"/>
  <c r="D113" i="74"/>
  <c r="D65" i="73"/>
  <c r="D65" i="74"/>
  <c r="D26" i="73"/>
  <c r="D26" i="74"/>
  <c r="D101" i="73"/>
  <c r="D101" i="74"/>
  <c r="D85" i="73"/>
  <c r="D85" i="74"/>
  <c r="D69" i="73"/>
  <c r="D69" i="74"/>
  <c r="D53" i="73"/>
  <c r="D53" i="74"/>
  <c r="D37" i="73"/>
  <c r="D37" i="74"/>
  <c r="D21" i="73"/>
  <c r="D21" i="74"/>
  <c r="D5" i="73"/>
  <c r="D5" i="74"/>
  <c r="D110" i="73"/>
  <c r="D110" i="74"/>
  <c r="D94" i="73"/>
  <c r="D94" i="74"/>
  <c r="D78" i="73"/>
  <c r="D78" i="74"/>
  <c r="D62" i="73"/>
  <c r="D62" i="74"/>
  <c r="D46" i="73"/>
  <c r="D46" i="74"/>
  <c r="D30" i="73"/>
  <c r="D30" i="74"/>
  <c r="D14" i="73"/>
  <c r="D14" i="74"/>
  <c r="D111" i="73"/>
  <c r="D111" i="74"/>
  <c r="D95" i="73"/>
  <c r="D95" i="74"/>
  <c r="D79" i="73"/>
  <c r="D79" i="74"/>
  <c r="D63" i="73"/>
  <c r="D63" i="74"/>
  <c r="D47" i="73"/>
  <c r="D47" i="74"/>
  <c r="D31" i="73"/>
  <c r="D31" i="74"/>
  <c r="D15" i="73"/>
  <c r="D15" i="74"/>
  <c r="D120" i="73"/>
  <c r="D120" i="74"/>
  <c r="D104" i="73"/>
  <c r="D104" i="74"/>
  <c r="D88" i="73"/>
  <c r="D88" i="74"/>
  <c r="D72" i="73"/>
  <c r="D72" i="74"/>
  <c r="D56" i="73"/>
  <c r="D56" i="74"/>
  <c r="D40" i="73"/>
  <c r="D40" i="74"/>
  <c r="D24" i="73"/>
  <c r="D24" i="74"/>
  <c r="D8" i="73"/>
  <c r="D8" i="74"/>
  <c r="D49" i="73"/>
  <c r="D49" i="74"/>
  <c r="D122" i="73"/>
  <c r="D122" i="74"/>
  <c r="D74" i="73"/>
  <c r="D74" i="74"/>
  <c r="D42" i="73"/>
  <c r="D42" i="74"/>
  <c r="D121" i="73"/>
  <c r="D121" i="74"/>
  <c r="D105" i="73"/>
  <c r="D105" i="74"/>
  <c r="D89" i="73"/>
  <c r="D89" i="74"/>
  <c r="D73" i="73"/>
  <c r="D73" i="74"/>
  <c r="D57" i="73"/>
  <c r="D57" i="74"/>
  <c r="D41" i="73"/>
  <c r="D41" i="74"/>
  <c r="D25" i="73"/>
  <c r="D25" i="74"/>
  <c r="D9" i="73"/>
  <c r="D9" i="74"/>
  <c r="D114" i="73"/>
  <c r="D114" i="74"/>
  <c r="D98" i="73"/>
  <c r="D98" i="74"/>
  <c r="D82" i="73"/>
  <c r="D82" i="74"/>
  <c r="D66" i="73"/>
  <c r="D66" i="74"/>
  <c r="D50" i="73"/>
  <c r="D50" i="74"/>
  <c r="D34" i="73"/>
  <c r="D34" i="74"/>
  <c r="D18" i="73"/>
  <c r="D18" i="74"/>
  <c r="D97" i="73"/>
  <c r="D97" i="74"/>
  <c r="O97" i="74" s="1"/>
  <c r="P97" i="74" s="1"/>
  <c r="Q97" i="74" s="1"/>
  <c r="D90" i="73"/>
  <c r="D90" i="74"/>
  <c r="D10" i="73"/>
  <c r="D10" i="74"/>
  <c r="D115" i="73"/>
  <c r="D115" i="74"/>
  <c r="D99" i="73"/>
  <c r="D99" i="74"/>
  <c r="D83" i="73"/>
  <c r="D83" i="74"/>
  <c r="D67" i="73"/>
  <c r="D67" i="74"/>
  <c r="D51" i="73"/>
  <c r="D51" i="74"/>
  <c r="D35" i="73"/>
  <c r="D35" i="74"/>
  <c r="D19" i="73"/>
  <c r="D19" i="74"/>
  <c r="D3" i="73"/>
  <c r="D3" i="74"/>
  <c r="D108" i="73"/>
  <c r="D108" i="74"/>
  <c r="D92" i="73"/>
  <c r="D92" i="74"/>
  <c r="D76" i="73"/>
  <c r="D76" i="74"/>
  <c r="D60" i="73"/>
  <c r="D60" i="74"/>
  <c r="D44" i="73"/>
  <c r="D44" i="74"/>
  <c r="D28" i="73"/>
  <c r="D28" i="74"/>
  <c r="D12" i="73"/>
  <c r="D12" i="74"/>
  <c r="D117" i="73"/>
  <c r="D117" i="74"/>
  <c r="D109" i="73"/>
  <c r="D109" i="74"/>
  <c r="D93" i="73"/>
  <c r="D93" i="74"/>
  <c r="D77" i="73"/>
  <c r="D77" i="74"/>
  <c r="D61" i="73"/>
  <c r="D61" i="74"/>
  <c r="D45" i="73"/>
  <c r="D45" i="74"/>
  <c r="D29" i="73"/>
  <c r="D29" i="74"/>
  <c r="D13" i="73"/>
  <c r="D13" i="74"/>
  <c r="D118" i="73"/>
  <c r="D118" i="74"/>
  <c r="D102" i="73"/>
  <c r="D102" i="74"/>
  <c r="D86" i="73"/>
  <c r="D86" i="74"/>
  <c r="D70" i="73"/>
  <c r="D70" i="74"/>
  <c r="D54" i="73"/>
  <c r="D54" i="74"/>
  <c r="D38" i="73"/>
  <c r="D38" i="74"/>
  <c r="D22" i="73"/>
  <c r="D22" i="74"/>
  <c r="O22" i="74" s="1"/>
  <c r="P22" i="74" s="1"/>
  <c r="Q22" i="74" s="1"/>
  <c r="D6" i="73"/>
  <c r="D6" i="74"/>
  <c r="D33" i="73"/>
  <c r="D33" i="74"/>
  <c r="D119" i="73"/>
  <c r="D119" i="74"/>
  <c r="D103" i="73"/>
  <c r="D103" i="74"/>
  <c r="D87" i="73"/>
  <c r="D87" i="74"/>
  <c r="D71" i="73"/>
  <c r="D71" i="74"/>
  <c r="O71" i="74" s="1"/>
  <c r="P71" i="74" s="1"/>
  <c r="Q71" i="74" s="1"/>
  <c r="D55" i="73"/>
  <c r="D55" i="74"/>
  <c r="D39" i="73"/>
  <c r="D39" i="74"/>
  <c r="D23" i="73"/>
  <c r="D23" i="74"/>
  <c r="D7" i="73"/>
  <c r="D7" i="74"/>
  <c r="D112" i="73"/>
  <c r="D112" i="74"/>
  <c r="D96" i="73"/>
  <c r="D96" i="74"/>
  <c r="D80" i="73"/>
  <c r="D80" i="74"/>
  <c r="D64" i="73"/>
  <c r="O64" i="73" s="1"/>
  <c r="P64" i="73" s="1"/>
  <c r="Q64" i="73" s="1"/>
  <c r="D64" i="74"/>
  <c r="D48" i="73"/>
  <c r="D48" i="74"/>
  <c r="D32" i="73"/>
  <c r="D32" i="74"/>
  <c r="D16" i="73"/>
  <c r="D16" i="74"/>
  <c r="N29" i="11"/>
  <c r="L79" i="60"/>
  <c r="L32" i="60"/>
  <c r="M32" i="60"/>
  <c r="I31" i="60"/>
  <c r="E346" i="60" s="1"/>
  <c r="F347" i="60" s="1"/>
  <c r="J31" i="60"/>
  <c r="G346" i="60" s="1"/>
  <c r="C31" i="60"/>
  <c r="E278" i="60" s="1"/>
  <c r="K31" i="60"/>
  <c r="E363" i="60" s="1"/>
  <c r="D31" i="60"/>
  <c r="E295" i="60" s="1"/>
  <c r="E31" i="60"/>
  <c r="E312" i="60" s="1"/>
  <c r="F313" i="60" s="1"/>
  <c r="F31" i="60"/>
  <c r="G312" i="60" s="1"/>
  <c r="H313" i="60" s="1"/>
  <c r="H31" i="60"/>
  <c r="G329" i="60" s="1"/>
  <c r="H330" i="60" s="1"/>
  <c r="G31" i="60"/>
  <c r="E329" i="60" s="1"/>
  <c r="F330" i="60" s="1"/>
  <c r="N79" i="60"/>
  <c r="H79" i="60"/>
  <c r="F77" i="60"/>
  <c r="J77" i="60"/>
  <c r="H77" i="60"/>
  <c r="B30" i="60"/>
  <c r="N78" i="60"/>
  <c r="L78" i="60"/>
  <c r="J78" i="60"/>
  <c r="D78" i="60"/>
  <c r="H78" i="60"/>
  <c r="L77" i="60"/>
  <c r="D79" i="60"/>
  <c r="N77" i="60"/>
  <c r="F79" i="60"/>
  <c r="J79" i="60"/>
  <c r="F78" i="60"/>
  <c r="K79" i="60"/>
  <c r="C79" i="60"/>
  <c r="G78" i="60"/>
  <c r="C78" i="60"/>
  <c r="K77" i="60"/>
  <c r="G77" i="60"/>
  <c r="C77" i="60"/>
  <c r="M79" i="60"/>
  <c r="I79" i="60"/>
  <c r="E79" i="60"/>
  <c r="M78" i="60"/>
  <c r="I78" i="60"/>
  <c r="E78" i="60"/>
  <c r="M77" i="60"/>
  <c r="I77" i="60"/>
  <c r="E77" i="60"/>
  <c r="K78" i="60"/>
  <c r="G79" i="60"/>
  <c r="B76" i="60"/>
  <c r="C76" i="60" s="1"/>
  <c r="O6" i="74" l="1"/>
  <c r="P6" i="74" s="1"/>
  <c r="Q6" i="74" s="1"/>
  <c r="B13" i="9"/>
  <c r="O64" i="74"/>
  <c r="P64" i="74" s="1"/>
  <c r="Q64" i="74" s="1"/>
  <c r="O19" i="74"/>
  <c r="P19" i="74" s="1"/>
  <c r="Q19" i="74" s="1"/>
  <c r="O92" i="73"/>
  <c r="P92" i="73" s="1"/>
  <c r="Q92" i="73" s="1"/>
  <c r="O44" i="73"/>
  <c r="P44" i="73" s="1"/>
  <c r="Q44" i="73" s="1"/>
  <c r="O72" i="73"/>
  <c r="P72" i="73" s="1"/>
  <c r="Q72" i="73" s="1"/>
  <c r="O104" i="73"/>
  <c r="P104" i="73" s="1"/>
  <c r="Q104" i="73" s="1"/>
  <c r="O86" i="73"/>
  <c r="P86" i="73" s="1"/>
  <c r="Q86" i="73" s="1"/>
  <c r="O21" i="74"/>
  <c r="P21" i="74" s="1"/>
  <c r="Q21" i="74" s="1"/>
  <c r="O70" i="74"/>
  <c r="P70" i="74" s="1"/>
  <c r="Q70" i="74" s="1"/>
  <c r="O32" i="74"/>
  <c r="P32" i="74" s="1"/>
  <c r="Q32" i="74" s="1"/>
  <c r="O29" i="74"/>
  <c r="P29" i="74" s="1"/>
  <c r="Q29" i="74" s="1"/>
  <c r="O93" i="74"/>
  <c r="P93" i="74" s="1"/>
  <c r="Q93" i="74" s="1"/>
  <c r="O86" i="74"/>
  <c r="P86" i="74" s="1"/>
  <c r="Q86" i="74" s="1"/>
  <c r="O54" i="73"/>
  <c r="P54" i="73" s="1"/>
  <c r="Q54" i="73" s="1"/>
  <c r="O67" i="73"/>
  <c r="P67" i="73" s="1"/>
  <c r="Q67" i="73" s="1"/>
  <c r="O87" i="73"/>
  <c r="P87" i="73" s="1"/>
  <c r="Q87" i="73" s="1"/>
  <c r="O71" i="73"/>
  <c r="P71" i="73" s="1"/>
  <c r="Q71" i="73" s="1"/>
  <c r="O75" i="73"/>
  <c r="P75" i="73" s="1"/>
  <c r="Q75" i="73" s="1"/>
  <c r="C127" i="60" a="1"/>
  <c r="C127" i="60" s="1"/>
  <c r="O17" i="73"/>
  <c r="P17" i="73" s="1"/>
  <c r="Q17" i="73" s="1"/>
  <c r="O27" i="74"/>
  <c r="P27" i="74" s="1"/>
  <c r="Q27" i="74" s="1"/>
  <c r="O19" i="73"/>
  <c r="P19" i="73" s="1"/>
  <c r="Q19" i="73" s="1"/>
  <c r="O96" i="74"/>
  <c r="P96" i="74" s="1"/>
  <c r="Q96" i="74" s="1"/>
  <c r="O32" i="73"/>
  <c r="P32" i="73" s="1"/>
  <c r="Q32" i="73" s="1"/>
  <c r="O12" i="73"/>
  <c r="P12" i="73" s="1"/>
  <c r="Q12" i="73" s="1"/>
  <c r="O108" i="73"/>
  <c r="P108" i="73" s="1"/>
  <c r="Q108" i="73" s="1"/>
  <c r="O93" i="73"/>
  <c r="P93" i="73" s="1"/>
  <c r="Q93" i="73" s="1"/>
  <c r="O130" i="73"/>
  <c r="P130" i="73" s="1"/>
  <c r="Q130" i="73" s="1"/>
  <c r="O97" i="73"/>
  <c r="P97" i="73" s="1"/>
  <c r="Q97" i="73" s="1"/>
  <c r="O96" i="73"/>
  <c r="P96" i="73" s="1"/>
  <c r="Q96" i="73" s="1"/>
  <c r="O85" i="74"/>
  <c r="P85" i="74" s="1"/>
  <c r="Q85" i="74" s="1"/>
  <c r="O17" i="74"/>
  <c r="P17" i="74" s="1"/>
  <c r="Q17" i="74" s="1"/>
  <c r="O51" i="73"/>
  <c r="P51" i="73" s="1"/>
  <c r="Q51" i="73" s="1"/>
  <c r="O10" i="74"/>
  <c r="P10" i="74" s="1"/>
  <c r="Q10" i="74" s="1"/>
  <c r="O42" i="74"/>
  <c r="P42" i="74" s="1"/>
  <c r="Q42" i="74" s="1"/>
  <c r="O74" i="74"/>
  <c r="P74" i="74" s="1"/>
  <c r="Q74" i="74" s="1"/>
  <c r="O106" i="74"/>
  <c r="P106" i="74" s="1"/>
  <c r="Q106" i="74" s="1"/>
  <c r="O123" i="73"/>
  <c r="P123" i="73" s="1"/>
  <c r="Q123" i="73" s="1"/>
  <c r="C126" i="60" a="1"/>
  <c r="C126" i="60" s="1"/>
  <c r="O26" i="73"/>
  <c r="P26" i="73" s="1"/>
  <c r="Q26" i="73" s="1"/>
  <c r="O90" i="73"/>
  <c r="P90" i="73" s="1"/>
  <c r="Q90" i="73" s="1"/>
  <c r="O74" i="73"/>
  <c r="P74" i="73" s="1"/>
  <c r="Q74" i="73" s="1"/>
  <c r="O8" i="73"/>
  <c r="P8" i="73" s="1"/>
  <c r="Q8" i="73" s="1"/>
  <c r="O111" i="73"/>
  <c r="P111" i="73" s="1"/>
  <c r="Q111" i="73" s="1"/>
  <c r="F279" i="60"/>
  <c r="H347" i="60"/>
  <c r="F364" i="60"/>
  <c r="F296" i="60"/>
  <c r="O66" i="73"/>
  <c r="P66" i="73" s="1"/>
  <c r="Q66" i="73" s="1"/>
  <c r="O28" i="74"/>
  <c r="P28" i="74" s="1"/>
  <c r="Q28" i="74" s="1"/>
  <c r="O60" i="74"/>
  <c r="P60" i="74" s="1"/>
  <c r="Q60" i="74" s="1"/>
  <c r="O92" i="74"/>
  <c r="P92" i="74" s="1"/>
  <c r="Q92" i="74" s="1"/>
  <c r="O82" i="73"/>
  <c r="P82" i="73" s="1"/>
  <c r="Q82" i="73" s="1"/>
  <c r="O88" i="73"/>
  <c r="P88" i="73" s="1"/>
  <c r="Q88" i="73" s="1"/>
  <c r="O33" i="73"/>
  <c r="P33" i="73" s="1"/>
  <c r="Q33" i="73" s="1"/>
  <c r="O98" i="73"/>
  <c r="P98" i="73" s="1"/>
  <c r="Q98" i="73" s="1"/>
  <c r="O131" i="73"/>
  <c r="P131" i="73" s="1"/>
  <c r="Q131" i="73" s="1"/>
  <c r="O35" i="73"/>
  <c r="P35" i="73" s="1"/>
  <c r="Q35" i="73" s="1"/>
  <c r="O85" i="73"/>
  <c r="P85" i="73" s="1"/>
  <c r="Q85" i="73" s="1"/>
  <c r="O80" i="74"/>
  <c r="P80" i="74" s="1"/>
  <c r="Q80" i="74" s="1"/>
  <c r="O57" i="74"/>
  <c r="P57" i="74" s="1"/>
  <c r="Q57" i="74" s="1"/>
  <c r="O89" i="74"/>
  <c r="P89" i="74" s="1"/>
  <c r="Q89" i="74" s="1"/>
  <c r="O99" i="73"/>
  <c r="P99" i="73" s="1"/>
  <c r="Q99" i="73" s="1"/>
  <c r="O28" i="73"/>
  <c r="P28" i="73" s="1"/>
  <c r="Q28" i="73" s="1"/>
  <c r="O60" i="73"/>
  <c r="P60" i="73" s="1"/>
  <c r="Q60" i="73" s="1"/>
  <c r="O124" i="73"/>
  <c r="P124" i="73" s="1"/>
  <c r="Q124" i="73" s="1"/>
  <c r="O18" i="73"/>
  <c r="P18" i="73" s="1"/>
  <c r="Q18" i="73" s="1"/>
  <c r="O50" i="73"/>
  <c r="P50" i="73" s="1"/>
  <c r="Q50" i="73" s="1"/>
  <c r="O114" i="73"/>
  <c r="P114" i="73" s="1"/>
  <c r="Q114" i="73" s="1"/>
  <c r="O24" i="73"/>
  <c r="P24" i="73" s="1"/>
  <c r="Q24" i="73" s="1"/>
  <c r="O56" i="73"/>
  <c r="P56" i="73" s="1"/>
  <c r="Q56" i="73" s="1"/>
  <c r="O11" i="73"/>
  <c r="P11" i="73" s="1"/>
  <c r="Q11" i="73" s="1"/>
  <c r="O65" i="73"/>
  <c r="P65" i="73" s="1"/>
  <c r="Q65" i="73" s="1"/>
  <c r="O47" i="74"/>
  <c r="P47" i="74" s="1"/>
  <c r="Q47" i="74" s="1"/>
  <c r="O79" i="74"/>
  <c r="P79" i="74" s="1"/>
  <c r="Q79" i="74" s="1"/>
  <c r="O111" i="74"/>
  <c r="P111" i="74" s="1"/>
  <c r="Q111" i="74" s="1"/>
  <c r="O4" i="74"/>
  <c r="P4" i="74" s="1"/>
  <c r="Q4" i="74" s="1"/>
  <c r="O36" i="74"/>
  <c r="P36" i="74" s="1"/>
  <c r="Q36" i="74" s="1"/>
  <c r="O68" i="74"/>
  <c r="P68" i="74" s="1"/>
  <c r="Q68" i="74" s="1"/>
  <c r="O100" i="74"/>
  <c r="P100" i="74" s="1"/>
  <c r="Q100" i="74" s="1"/>
  <c r="O106" i="73"/>
  <c r="P106" i="73" s="1"/>
  <c r="Q106" i="73" s="1"/>
  <c r="O22" i="73"/>
  <c r="P22" i="73" s="1"/>
  <c r="Q22" i="73" s="1"/>
  <c r="Q188" i="60"/>
  <c r="Q193" i="60"/>
  <c r="O79" i="73"/>
  <c r="P79" i="73" s="1"/>
  <c r="Q79" i="73" s="1"/>
  <c r="O73" i="73"/>
  <c r="P73" i="73" s="1"/>
  <c r="Q73" i="73" s="1"/>
  <c r="O42" i="73"/>
  <c r="P42" i="73" s="1"/>
  <c r="Q42" i="73" s="1"/>
  <c r="O89" i="73"/>
  <c r="P89" i="73" s="1"/>
  <c r="Q89" i="73" s="1"/>
  <c r="O29" i="73"/>
  <c r="P29" i="73" s="1"/>
  <c r="Q29" i="73" s="1"/>
  <c r="O31" i="74"/>
  <c r="P31" i="74" s="1"/>
  <c r="Q31" i="74" s="1"/>
  <c r="O63" i="74"/>
  <c r="P63" i="74" s="1"/>
  <c r="Q63" i="74" s="1"/>
  <c r="O95" i="74"/>
  <c r="P95" i="74" s="1"/>
  <c r="Q95" i="74" s="1"/>
  <c r="O103" i="74"/>
  <c r="P103" i="74" s="1"/>
  <c r="Q103" i="74" s="1"/>
  <c r="O20" i="74"/>
  <c r="P20" i="74" s="1"/>
  <c r="Q20" i="74" s="1"/>
  <c r="O52" i="74"/>
  <c r="P52" i="74" s="1"/>
  <c r="Q52" i="74" s="1"/>
  <c r="O84" i="74"/>
  <c r="P84" i="74" s="1"/>
  <c r="Q84" i="74" s="1"/>
  <c r="O116" i="74"/>
  <c r="P116" i="74" s="1"/>
  <c r="Q116" i="74" s="1"/>
  <c r="O80" i="73"/>
  <c r="P80" i="73" s="1"/>
  <c r="Q80" i="73" s="1"/>
  <c r="O91" i="73"/>
  <c r="P91" i="73" s="1"/>
  <c r="Q91" i="73" s="1"/>
  <c r="O103" i="73"/>
  <c r="P103" i="73" s="1"/>
  <c r="Q103" i="73" s="1"/>
  <c r="O20" i="73"/>
  <c r="P20" i="73" s="1"/>
  <c r="Q20" i="73" s="1"/>
  <c r="O52" i="73"/>
  <c r="P52" i="73" s="1"/>
  <c r="Q52" i="73" s="1"/>
  <c r="O38" i="74"/>
  <c r="P38" i="74" s="1"/>
  <c r="Q38" i="74" s="1"/>
  <c r="O102" i="74"/>
  <c r="P102" i="74" s="1"/>
  <c r="Q102" i="74" s="1"/>
  <c r="O91" i="74"/>
  <c r="P91" i="74" s="1"/>
  <c r="Q91" i="74" s="1"/>
  <c r="O118" i="74"/>
  <c r="P118" i="74" s="1"/>
  <c r="Q118" i="74" s="1"/>
  <c r="O3" i="74"/>
  <c r="P3" i="74" s="1"/>
  <c r="Q3" i="74" s="1"/>
  <c r="O41" i="74"/>
  <c r="P41" i="74" s="1"/>
  <c r="Q41" i="74" s="1"/>
  <c r="O73" i="74"/>
  <c r="P73" i="74" s="1"/>
  <c r="Q73" i="74" s="1"/>
  <c r="O105" i="74"/>
  <c r="P105" i="74" s="1"/>
  <c r="Q105" i="74" s="1"/>
  <c r="O69" i="74"/>
  <c r="P69" i="74" s="1"/>
  <c r="Q69" i="74" s="1"/>
  <c r="O16" i="74"/>
  <c r="P16" i="74" s="1"/>
  <c r="Q16" i="74" s="1"/>
  <c r="O113" i="74"/>
  <c r="P113" i="74" s="1"/>
  <c r="Q113" i="74" s="1"/>
  <c r="O87" i="74"/>
  <c r="P87" i="74" s="1"/>
  <c r="Q87" i="74" s="1"/>
  <c r="O11" i="74"/>
  <c r="P11" i="74" s="1"/>
  <c r="Q11" i="74" s="1"/>
  <c r="O112" i="74"/>
  <c r="P112" i="74" s="1"/>
  <c r="Q112" i="74" s="1"/>
  <c r="O69" i="73"/>
  <c r="P69" i="73" s="1"/>
  <c r="Q69" i="73" s="1"/>
  <c r="O16" i="73"/>
  <c r="P16" i="73" s="1"/>
  <c r="Q16" i="73" s="1"/>
  <c r="O113" i="73"/>
  <c r="P113" i="73" s="1"/>
  <c r="Q113" i="73" s="1"/>
  <c r="O112" i="73"/>
  <c r="P112" i="73" s="1"/>
  <c r="Q112" i="73" s="1"/>
  <c r="O61" i="74"/>
  <c r="P61" i="74" s="1"/>
  <c r="Q61" i="74" s="1"/>
  <c r="O5" i="74"/>
  <c r="P5" i="74" s="1"/>
  <c r="Q5" i="74" s="1"/>
  <c r="O77" i="74"/>
  <c r="P77" i="74" s="1"/>
  <c r="Q77" i="74" s="1"/>
  <c r="O39" i="73"/>
  <c r="P39" i="73" s="1"/>
  <c r="Q39" i="73" s="1"/>
  <c r="O115" i="74"/>
  <c r="P115" i="74" s="1"/>
  <c r="Q115" i="74" s="1"/>
  <c r="O35" i="74"/>
  <c r="P35" i="74" s="1"/>
  <c r="Q35" i="74" s="1"/>
  <c r="O67" i="74"/>
  <c r="P67" i="74" s="1"/>
  <c r="Q67" i="74" s="1"/>
  <c r="O99" i="74"/>
  <c r="P99" i="74" s="1"/>
  <c r="Q99" i="74" s="1"/>
  <c r="O121" i="74"/>
  <c r="P121" i="74" s="1"/>
  <c r="Q121" i="74" s="1"/>
  <c r="O14" i="74"/>
  <c r="P14" i="74" s="1"/>
  <c r="Q14" i="74" s="1"/>
  <c r="O46" i="74"/>
  <c r="P46" i="74" s="1"/>
  <c r="Q46" i="74" s="1"/>
  <c r="O78" i="74"/>
  <c r="P78" i="74" s="1"/>
  <c r="Q78" i="74" s="1"/>
  <c r="O110" i="74"/>
  <c r="P110" i="74" s="1"/>
  <c r="Q110" i="74" s="1"/>
  <c r="O23" i="74"/>
  <c r="P23" i="74" s="1"/>
  <c r="Q23" i="74" s="1"/>
  <c r="O23" i="73"/>
  <c r="P23" i="73" s="1"/>
  <c r="Q23" i="73" s="1"/>
  <c r="O83" i="73"/>
  <c r="P83" i="73" s="1"/>
  <c r="Q83" i="73" s="1"/>
  <c r="O121" i="73"/>
  <c r="P121" i="73" s="1"/>
  <c r="Q121" i="73" s="1"/>
  <c r="O58" i="73"/>
  <c r="P58" i="73" s="1"/>
  <c r="Q58" i="73" s="1"/>
  <c r="O14" i="73"/>
  <c r="P14" i="73" s="1"/>
  <c r="Q14" i="73" s="1"/>
  <c r="O46" i="73"/>
  <c r="P46" i="73" s="1"/>
  <c r="Q46" i="73" s="1"/>
  <c r="O78" i="73"/>
  <c r="P78" i="73" s="1"/>
  <c r="Q78" i="73" s="1"/>
  <c r="O110" i="73"/>
  <c r="P110" i="73" s="1"/>
  <c r="Q110" i="73" s="1"/>
  <c r="O116" i="73"/>
  <c r="P116" i="73" s="1"/>
  <c r="Q116" i="73" s="1"/>
  <c r="O9" i="74"/>
  <c r="P9" i="74" s="1"/>
  <c r="Q9" i="74" s="1"/>
  <c r="O18" i="74"/>
  <c r="P18" i="74" s="1"/>
  <c r="Q18" i="74" s="1"/>
  <c r="O50" i="74"/>
  <c r="P50" i="74" s="1"/>
  <c r="Q50" i="74" s="1"/>
  <c r="O82" i="74"/>
  <c r="P82" i="74" s="1"/>
  <c r="Q82" i="74" s="1"/>
  <c r="O114" i="74"/>
  <c r="P114" i="74" s="1"/>
  <c r="Q114" i="74" s="1"/>
  <c r="O24" i="74"/>
  <c r="P24" i="74" s="1"/>
  <c r="Q24" i="74" s="1"/>
  <c r="O56" i="74"/>
  <c r="P56" i="74" s="1"/>
  <c r="Q56" i="74" s="1"/>
  <c r="O88" i="74"/>
  <c r="P88" i="74" s="1"/>
  <c r="Q88" i="74" s="1"/>
  <c r="O120" i="74"/>
  <c r="P120" i="74" s="1"/>
  <c r="Q120" i="74" s="1"/>
  <c r="O101" i="74"/>
  <c r="P101" i="74" s="1"/>
  <c r="Q101" i="74" s="1"/>
  <c r="O43" i="74"/>
  <c r="P43" i="74" s="1"/>
  <c r="Q43" i="74" s="1"/>
  <c r="O33" i="74"/>
  <c r="P33" i="74" s="1"/>
  <c r="Q33" i="74" s="1"/>
  <c r="O65" i="74"/>
  <c r="P65" i="74" s="1"/>
  <c r="Q65" i="74" s="1"/>
  <c r="O13" i="74"/>
  <c r="P13" i="74" s="1"/>
  <c r="Q13" i="74" s="1"/>
  <c r="O127" i="73"/>
  <c r="P127" i="73" s="1"/>
  <c r="Q127" i="73" s="1"/>
  <c r="O9" i="73"/>
  <c r="P9" i="73" s="1"/>
  <c r="Q9" i="73" s="1"/>
  <c r="O37" i="73"/>
  <c r="P37" i="73" s="1"/>
  <c r="Q37" i="73" s="1"/>
  <c r="O101" i="73"/>
  <c r="P101" i="73" s="1"/>
  <c r="Q101" i="73" s="1"/>
  <c r="O13" i="73"/>
  <c r="P13" i="73" s="1"/>
  <c r="Q13" i="73" s="1"/>
  <c r="O83" i="74"/>
  <c r="P83" i="74" s="1"/>
  <c r="Q83" i="74" s="1"/>
  <c r="O30" i="74"/>
  <c r="P30" i="74" s="1"/>
  <c r="Q30" i="74" s="1"/>
  <c r="O62" i="74"/>
  <c r="P62" i="74" s="1"/>
  <c r="Q62" i="74" s="1"/>
  <c r="O94" i="74"/>
  <c r="P94" i="74" s="1"/>
  <c r="Q94" i="74" s="1"/>
  <c r="O26" i="74"/>
  <c r="P26" i="74" s="1"/>
  <c r="Q26" i="74" s="1"/>
  <c r="O58" i="74"/>
  <c r="P58" i="74" s="1"/>
  <c r="Q58" i="74" s="1"/>
  <c r="O90" i="74"/>
  <c r="P90" i="74" s="1"/>
  <c r="Q90" i="74" s="1"/>
  <c r="O122" i="74"/>
  <c r="P122" i="74" s="1"/>
  <c r="Q122" i="74" s="1"/>
  <c r="O55" i="74"/>
  <c r="P55" i="74" s="1"/>
  <c r="Q55" i="74" s="1"/>
  <c r="O38" i="73"/>
  <c r="P38" i="73" s="1"/>
  <c r="Q38" i="73" s="1"/>
  <c r="O45" i="73"/>
  <c r="P45" i="73" s="1"/>
  <c r="Q45" i="73" s="1"/>
  <c r="O109" i="73"/>
  <c r="P109" i="73" s="1"/>
  <c r="Q109" i="73" s="1"/>
  <c r="D162" i="73"/>
  <c r="O30" i="73"/>
  <c r="P30" i="73" s="1"/>
  <c r="Q30" i="73" s="1"/>
  <c r="O62" i="73"/>
  <c r="P62" i="73" s="1"/>
  <c r="Q62" i="73" s="1"/>
  <c r="O94" i="73"/>
  <c r="P94" i="73" s="1"/>
  <c r="Q94" i="73" s="1"/>
  <c r="O4" i="73"/>
  <c r="P4" i="73" s="1"/>
  <c r="Q4" i="73" s="1"/>
  <c r="O36" i="73"/>
  <c r="P36" i="73" s="1"/>
  <c r="Q36" i="73" s="1"/>
  <c r="O68" i="73"/>
  <c r="P68" i="73" s="1"/>
  <c r="Q68" i="73" s="1"/>
  <c r="O100" i="73"/>
  <c r="P100" i="73" s="1"/>
  <c r="Q100" i="73" s="1"/>
  <c r="O128" i="73"/>
  <c r="P128" i="73" s="1"/>
  <c r="Q128" i="73" s="1"/>
  <c r="O55" i="73"/>
  <c r="P55" i="73" s="1"/>
  <c r="Q55" i="73" s="1"/>
  <c r="O54" i="74"/>
  <c r="P54" i="74" s="1"/>
  <c r="Q54" i="74" s="1"/>
  <c r="O45" i="74"/>
  <c r="P45" i="74" s="1"/>
  <c r="Q45" i="74" s="1"/>
  <c r="O109" i="74"/>
  <c r="P109" i="74" s="1"/>
  <c r="Q109" i="74" s="1"/>
  <c r="O107" i="74"/>
  <c r="P107" i="74" s="1"/>
  <c r="Q107" i="74" s="1"/>
  <c r="O12" i="74"/>
  <c r="P12" i="74" s="1"/>
  <c r="Q12" i="74" s="1"/>
  <c r="O44" i="74"/>
  <c r="P44" i="74" s="1"/>
  <c r="Q44" i="74" s="1"/>
  <c r="O76" i="74"/>
  <c r="P76" i="74" s="1"/>
  <c r="Q76" i="74" s="1"/>
  <c r="O108" i="74"/>
  <c r="P108" i="74" s="1"/>
  <c r="Q108" i="74" s="1"/>
  <c r="O25" i="74"/>
  <c r="P25" i="74" s="1"/>
  <c r="Q25" i="74" s="1"/>
  <c r="O119" i="74"/>
  <c r="P119" i="74" s="1"/>
  <c r="Q119" i="74" s="1"/>
  <c r="O34" i="74"/>
  <c r="P34" i="74" s="1"/>
  <c r="Q34" i="74" s="1"/>
  <c r="O66" i="74"/>
  <c r="P66" i="74" s="1"/>
  <c r="Q66" i="74" s="1"/>
  <c r="O98" i="74"/>
  <c r="P98" i="74" s="1"/>
  <c r="Q98" i="74" s="1"/>
  <c r="O15" i="74"/>
  <c r="P15" i="74" s="1"/>
  <c r="Q15" i="74" s="1"/>
  <c r="O8" i="74"/>
  <c r="P8" i="74" s="1"/>
  <c r="Q8" i="74" s="1"/>
  <c r="O40" i="74"/>
  <c r="P40" i="74" s="1"/>
  <c r="Q40" i="74" s="1"/>
  <c r="O72" i="74"/>
  <c r="P72" i="74" s="1"/>
  <c r="Q72" i="74" s="1"/>
  <c r="O104" i="74"/>
  <c r="P104" i="74" s="1"/>
  <c r="Q104" i="74" s="1"/>
  <c r="O117" i="74"/>
  <c r="P117" i="74" s="1"/>
  <c r="Q117" i="74" s="1"/>
  <c r="O53" i="74"/>
  <c r="P53" i="74" s="1"/>
  <c r="Q53" i="74" s="1"/>
  <c r="O59" i="74"/>
  <c r="P59" i="74" s="1"/>
  <c r="Q59" i="74" s="1"/>
  <c r="O49" i="74"/>
  <c r="P49" i="74" s="1"/>
  <c r="Q49" i="74" s="1"/>
  <c r="O81" i="74"/>
  <c r="P81" i="74" s="1"/>
  <c r="Q81" i="74" s="1"/>
  <c r="O48" i="74"/>
  <c r="P48" i="74" s="1"/>
  <c r="Q48" i="74" s="1"/>
  <c r="O118" i="73"/>
  <c r="P118" i="73" s="1"/>
  <c r="Q118" i="73" s="1"/>
  <c r="O61" i="73"/>
  <c r="P61" i="73" s="1"/>
  <c r="Q61" i="73" s="1"/>
  <c r="O10" i="73"/>
  <c r="P10" i="73" s="1"/>
  <c r="Q10" i="73" s="1"/>
  <c r="O41" i="73"/>
  <c r="P41" i="73" s="1"/>
  <c r="Q41" i="73" s="1"/>
  <c r="O105" i="73"/>
  <c r="P105" i="73" s="1"/>
  <c r="Q105" i="73" s="1"/>
  <c r="O47" i="73"/>
  <c r="P47" i="73" s="1"/>
  <c r="Q47" i="73" s="1"/>
  <c r="O107" i="73"/>
  <c r="P107" i="73" s="1"/>
  <c r="Q107" i="73" s="1"/>
  <c r="O25" i="73"/>
  <c r="P25" i="73" s="1"/>
  <c r="Q25" i="73" s="1"/>
  <c r="O119" i="73"/>
  <c r="P119" i="73" s="1"/>
  <c r="Q119" i="73" s="1"/>
  <c r="O117" i="73"/>
  <c r="P117" i="73" s="1"/>
  <c r="Q117" i="73" s="1"/>
  <c r="O53" i="73"/>
  <c r="P53" i="73" s="1"/>
  <c r="Q53" i="73" s="1"/>
  <c r="O59" i="73"/>
  <c r="P59" i="73" s="1"/>
  <c r="Q59" i="73" s="1"/>
  <c r="O125" i="73"/>
  <c r="P125" i="73" s="1"/>
  <c r="Q125" i="73" s="1"/>
  <c r="O48" i="73"/>
  <c r="P48" i="73" s="1"/>
  <c r="Q48" i="73" s="1"/>
  <c r="Q194" i="60"/>
  <c r="O34" i="73"/>
  <c r="P34" i="73" s="1"/>
  <c r="Q34" i="73" s="1"/>
  <c r="Q195" i="60"/>
  <c r="O5" i="73"/>
  <c r="P5" i="73" s="1"/>
  <c r="Q5" i="73" s="1"/>
  <c r="D161" i="73"/>
  <c r="K4" i="11" s="1"/>
  <c r="Q189" i="60"/>
  <c r="D156" i="73"/>
  <c r="F4" i="11" s="1"/>
  <c r="D160" i="73"/>
  <c r="B11" i="9" s="1"/>
  <c r="O95" i="73"/>
  <c r="P95" i="73" s="1"/>
  <c r="Q95" i="73" s="1"/>
  <c r="O102" i="73"/>
  <c r="P102" i="73" s="1"/>
  <c r="Q102" i="73" s="1"/>
  <c r="O115" i="73"/>
  <c r="P115" i="73" s="1"/>
  <c r="Q115" i="73" s="1"/>
  <c r="O27" i="73"/>
  <c r="P27" i="73" s="1"/>
  <c r="Q27" i="73" s="1"/>
  <c r="O31" i="73"/>
  <c r="P31" i="73" s="1"/>
  <c r="Q31" i="73" s="1"/>
  <c r="O81" i="73"/>
  <c r="P81" i="73" s="1"/>
  <c r="Q81" i="73" s="1"/>
  <c r="D152" i="73"/>
  <c r="D158" i="73"/>
  <c r="B9" i="9" s="1"/>
  <c r="Q190" i="60"/>
  <c r="D157" i="73"/>
  <c r="G4" i="11" s="1"/>
  <c r="D154" i="73"/>
  <c r="D4" i="11" s="1"/>
  <c r="Q187" i="60"/>
  <c r="D155" i="73"/>
  <c r="B6" i="9" s="1"/>
  <c r="O77" i="73"/>
  <c r="P77" i="73" s="1"/>
  <c r="Q77" i="73" s="1"/>
  <c r="O57" i="73"/>
  <c r="P57" i="73" s="1"/>
  <c r="Q57" i="73" s="1"/>
  <c r="O49" i="73"/>
  <c r="P49" i="73" s="1"/>
  <c r="Q49" i="73" s="1"/>
  <c r="Q191" i="60"/>
  <c r="D159" i="73"/>
  <c r="B10" i="9" s="1"/>
  <c r="D153" i="73"/>
  <c r="B4" i="9" s="1"/>
  <c r="N4" i="9" s="1"/>
  <c r="O63" i="73"/>
  <c r="P63" i="73" s="1"/>
  <c r="Q63" i="73" s="1"/>
  <c r="O70" i="73"/>
  <c r="P70" i="73" s="1"/>
  <c r="Q70" i="73" s="1"/>
  <c r="O76" i="73"/>
  <c r="P76" i="73" s="1"/>
  <c r="Q76" i="73" s="1"/>
  <c r="Q192" i="60"/>
  <c r="O21" i="73"/>
  <c r="P21" i="73" s="1"/>
  <c r="Q21" i="73" s="1"/>
  <c r="Q196" i="60"/>
  <c r="O40" i="73"/>
  <c r="P40" i="73" s="1"/>
  <c r="Q40" i="73" s="1"/>
  <c r="O122" i="73"/>
  <c r="P122" i="73" s="1"/>
  <c r="Q122" i="73" s="1"/>
  <c r="O7" i="73"/>
  <c r="P7" i="73" s="1"/>
  <c r="Q7" i="73" s="1"/>
  <c r="D159" i="74"/>
  <c r="C644" i="60" s="1"/>
  <c r="D157" i="74"/>
  <c r="C642" i="60" s="1"/>
  <c r="D155" i="74"/>
  <c r="C640" i="60" s="1"/>
  <c r="O39" i="74"/>
  <c r="P39" i="74" s="1"/>
  <c r="Q39" i="74" s="1"/>
  <c r="D156" i="74"/>
  <c r="C641" i="60" s="1"/>
  <c r="D154" i="74"/>
  <c r="C639" i="60" s="1"/>
  <c r="D152" i="74"/>
  <c r="D161" i="74"/>
  <c r="C646" i="60" s="1"/>
  <c r="D160" i="74"/>
  <c r="C645" i="60" s="1"/>
  <c r="D153" i="74"/>
  <c r="C638" i="60" s="1"/>
  <c r="D158" i="74"/>
  <c r="C643" i="60" s="1"/>
  <c r="O75" i="74"/>
  <c r="P75" i="74" s="1"/>
  <c r="Q75" i="74" s="1"/>
  <c r="O6" i="73"/>
  <c r="P6" i="73" s="1"/>
  <c r="Q6" i="73" s="1"/>
  <c r="L31" i="60"/>
  <c r="M31" i="60"/>
  <c r="J30" i="60"/>
  <c r="C30" i="60"/>
  <c r="K30" i="60"/>
  <c r="E30" i="60"/>
  <c r="D30" i="60"/>
  <c r="H30" i="60"/>
  <c r="G328" i="60" s="1"/>
  <c r="H329" i="60" s="1"/>
  <c r="F30" i="60"/>
  <c r="G30" i="60"/>
  <c r="I30" i="60"/>
  <c r="D76" i="60"/>
  <c r="L76" i="60"/>
  <c r="B29" i="60"/>
  <c r="E76" i="60"/>
  <c r="I76" i="60"/>
  <c r="K76" i="60"/>
  <c r="J76" i="60"/>
  <c r="H76" i="60"/>
  <c r="G76" i="60"/>
  <c r="M76" i="60"/>
  <c r="N76" i="60"/>
  <c r="F76" i="60"/>
  <c r="B75" i="60"/>
  <c r="F13" i="9" l="1"/>
  <c r="N13" i="9"/>
  <c r="O120" i="73"/>
  <c r="P120" i="73" s="1"/>
  <c r="Q120" i="73" s="1"/>
  <c r="C13" i="9"/>
  <c r="D13" i="9" s="1"/>
  <c r="E13" i="9" s="1"/>
  <c r="D162" i="74"/>
  <c r="D165" i="74" s="1"/>
  <c r="C637" i="60"/>
  <c r="B3" i="9"/>
  <c r="F3" i="9" s="1"/>
  <c r="D165" i="73"/>
  <c r="B5" i="9"/>
  <c r="C81" i="60" a="1"/>
  <c r="C81" i="60" s="1"/>
  <c r="N155" i="73"/>
  <c r="E5" i="11" s="1"/>
  <c r="C82" i="60" a="1"/>
  <c r="C82" i="60" s="1"/>
  <c r="N150" i="73"/>
  <c r="N154" i="73"/>
  <c r="D5" i="11" s="1"/>
  <c r="O43" i="73"/>
  <c r="P43" i="73" s="1"/>
  <c r="Q43" i="73" s="1"/>
  <c r="N162" i="74"/>
  <c r="E408" i="60"/>
  <c r="G311" i="60"/>
  <c r="E405" i="60"/>
  <c r="E402" i="60"/>
  <c r="E294" i="60"/>
  <c r="E328" i="60"/>
  <c r="E407" i="60"/>
  <c r="E404" i="60"/>
  <c r="E311" i="60"/>
  <c r="F312" i="60" s="1"/>
  <c r="E413" i="60"/>
  <c r="E362" i="60"/>
  <c r="F363" i="60" s="1"/>
  <c r="E400" i="60"/>
  <c r="E277" i="60"/>
  <c r="E345" i="60"/>
  <c r="F346" i="60" s="1"/>
  <c r="E410" i="60"/>
  <c r="E411" i="60"/>
  <c r="G345" i="60"/>
  <c r="R188" i="60"/>
  <c r="R194" i="60"/>
  <c r="R196" i="60"/>
  <c r="R191" i="60"/>
  <c r="R193" i="60"/>
  <c r="R189" i="60"/>
  <c r="R195" i="60"/>
  <c r="R192" i="60"/>
  <c r="R190" i="60"/>
  <c r="N154" i="74"/>
  <c r="F639" i="60" s="1"/>
  <c r="N162" i="73"/>
  <c r="N157" i="73"/>
  <c r="G5" i="11" s="1"/>
  <c r="N152" i="74"/>
  <c r="F637" i="60" s="1"/>
  <c r="N156" i="74"/>
  <c r="F641" i="60" s="1"/>
  <c r="S190" i="60"/>
  <c r="U190" i="60" s="1"/>
  <c r="N158" i="73"/>
  <c r="N160" i="73"/>
  <c r="J5" i="11" s="1"/>
  <c r="N163" i="73"/>
  <c r="S193" i="60"/>
  <c r="O3" i="73"/>
  <c r="P3" i="73" s="1"/>
  <c r="Q3" i="73" s="1"/>
  <c r="B7" i="9"/>
  <c r="N152" i="73"/>
  <c r="O37" i="74"/>
  <c r="P37" i="74" s="1"/>
  <c r="Q37" i="74" s="1"/>
  <c r="B8" i="9"/>
  <c r="B12" i="9"/>
  <c r="O84" i="73"/>
  <c r="P84" i="73" s="1"/>
  <c r="Q84" i="73" s="1"/>
  <c r="N163" i="74"/>
  <c r="F648" i="60" s="1"/>
  <c r="N160" i="74"/>
  <c r="S196" i="60"/>
  <c r="N161" i="74"/>
  <c r="F646" i="60" s="1"/>
  <c r="N153" i="73"/>
  <c r="N150" i="74"/>
  <c r="S189" i="60"/>
  <c r="N155" i="74"/>
  <c r="S191" i="60"/>
  <c r="N157" i="74"/>
  <c r="F642" i="60" s="1"/>
  <c r="S195" i="60"/>
  <c r="U195" i="60" s="1"/>
  <c r="N156" i="73"/>
  <c r="O7" i="74"/>
  <c r="P7" i="74" s="1"/>
  <c r="Q7" i="74" s="1"/>
  <c r="N161" i="73"/>
  <c r="C12" i="9" s="1"/>
  <c r="N159" i="73"/>
  <c r="D644" i="60" s="1"/>
  <c r="E644" i="60" s="1"/>
  <c r="S194" i="60"/>
  <c r="N158" i="74"/>
  <c r="S187" i="60"/>
  <c r="U187" i="60" s="1"/>
  <c r="N153" i="74"/>
  <c r="F638" i="60" s="1"/>
  <c r="N159" i="74"/>
  <c r="F644" i="60" s="1"/>
  <c r="S192" i="60"/>
  <c r="U192" i="60" s="1"/>
  <c r="O51" i="74"/>
  <c r="P51" i="74" s="1"/>
  <c r="Q51" i="74" s="1"/>
  <c r="S188" i="60"/>
  <c r="O15" i="73"/>
  <c r="P15" i="73" s="1"/>
  <c r="Q15" i="73" s="1"/>
  <c r="J4" i="11"/>
  <c r="B4" i="11"/>
  <c r="C4" i="11"/>
  <c r="H4" i="11"/>
  <c r="E4" i="11"/>
  <c r="I4" i="11"/>
  <c r="F4" i="9"/>
  <c r="L30" i="60"/>
  <c r="M30" i="60"/>
  <c r="E29" i="60"/>
  <c r="E310" i="60" s="1"/>
  <c r="D29" i="60"/>
  <c r="E293" i="60" s="1"/>
  <c r="J29" i="60"/>
  <c r="G344" i="60" s="1"/>
  <c r="H29" i="60"/>
  <c r="G327" i="60" s="1"/>
  <c r="H328" i="60" s="1"/>
  <c r="K29" i="60"/>
  <c r="E361" i="60" s="1"/>
  <c r="F362" i="60" s="1"/>
  <c r="C29" i="60"/>
  <c r="E276" i="60" s="1"/>
  <c r="G29" i="60"/>
  <c r="E327" i="60" s="1"/>
  <c r="I29" i="60"/>
  <c r="E344" i="60" s="1"/>
  <c r="F29" i="60"/>
  <c r="G310" i="60" s="1"/>
  <c r="L75" i="60"/>
  <c r="N75" i="60"/>
  <c r="H75" i="60"/>
  <c r="D75" i="60"/>
  <c r="J75" i="60"/>
  <c r="K75" i="60"/>
  <c r="I75" i="60"/>
  <c r="M75" i="60"/>
  <c r="F75" i="60"/>
  <c r="G75" i="60"/>
  <c r="E75" i="60"/>
  <c r="C75" i="60"/>
  <c r="B74" i="60"/>
  <c r="N3" i="9" l="1"/>
  <c r="Q132" i="73"/>
  <c r="F647" i="60"/>
  <c r="N165" i="74"/>
  <c r="C14" i="9"/>
  <c r="N165" i="73"/>
  <c r="O165" i="73" s="1"/>
  <c r="C8" i="9"/>
  <c r="L5" i="11"/>
  <c r="C5" i="9"/>
  <c r="O157" i="74"/>
  <c r="P157" i="74" s="1"/>
  <c r="Q426" i="60" s="1"/>
  <c r="K509" i="60" s="1"/>
  <c r="D642" i="60"/>
  <c r="E642" i="60" s="1"/>
  <c r="O161" i="74"/>
  <c r="P161" i="74" s="1"/>
  <c r="Q430" i="60" s="1"/>
  <c r="D646" i="60"/>
  <c r="E646" i="60" s="1"/>
  <c r="O163" i="74"/>
  <c r="P163" i="74" s="1"/>
  <c r="Q432" i="60" s="1"/>
  <c r="D648" i="60"/>
  <c r="G648" i="60" s="1"/>
  <c r="O162" i="74"/>
  <c r="P162" i="74" s="1"/>
  <c r="Q431" i="60" s="1"/>
  <c r="D647" i="60"/>
  <c r="F640" i="60"/>
  <c r="O160" i="74"/>
  <c r="P160" i="74" s="1"/>
  <c r="Q429" i="60" s="1"/>
  <c r="D645" i="60"/>
  <c r="E645" i="60" s="1"/>
  <c r="O155" i="74"/>
  <c r="P155" i="74" s="1"/>
  <c r="Q424" i="60" s="1"/>
  <c r="K473" i="60" s="1"/>
  <c r="D640" i="60"/>
  <c r="E640" i="60" s="1"/>
  <c r="G644" i="60"/>
  <c r="O156" i="74"/>
  <c r="P156" i="74" s="1"/>
  <c r="Q425" i="60" s="1"/>
  <c r="K491" i="60" s="1"/>
  <c r="D641" i="60"/>
  <c r="O153" i="74"/>
  <c r="P153" i="74" s="1"/>
  <c r="D638" i="60"/>
  <c r="E638" i="60" s="1"/>
  <c r="O158" i="74"/>
  <c r="P158" i="74" s="1"/>
  <c r="Q427" i="60" s="1"/>
  <c r="D643" i="60"/>
  <c r="E643" i="60" s="1"/>
  <c r="F645" i="60"/>
  <c r="O154" i="74"/>
  <c r="P154" i="74" s="1"/>
  <c r="Q423" i="60" s="1"/>
  <c r="K455" i="60" s="1"/>
  <c r="D639" i="60"/>
  <c r="E639" i="60" s="1"/>
  <c r="C6" i="9"/>
  <c r="O152" i="74"/>
  <c r="P152" i="74" s="1"/>
  <c r="Q421" i="60" s="1"/>
  <c r="D637" i="60"/>
  <c r="E637" i="60" s="1"/>
  <c r="F643" i="60"/>
  <c r="T191" i="60"/>
  <c r="T196" i="60"/>
  <c r="T188" i="60"/>
  <c r="F311" i="60"/>
  <c r="K5" i="11"/>
  <c r="K6" i="11" s="1"/>
  <c r="F345" i="60"/>
  <c r="F328" i="60"/>
  <c r="F329" i="60"/>
  <c r="F277" i="60"/>
  <c r="F278" i="60"/>
  <c r="F294" i="60"/>
  <c r="F295" i="60"/>
  <c r="F410" i="60"/>
  <c r="G410" i="60"/>
  <c r="G407" i="60"/>
  <c r="F407" i="60"/>
  <c r="F400" i="60"/>
  <c r="G400" i="60"/>
  <c r="G402" i="60"/>
  <c r="F402" i="60"/>
  <c r="G413" i="60"/>
  <c r="F413" i="60"/>
  <c r="E416" i="60"/>
  <c r="F405" i="60"/>
  <c r="G405" i="60"/>
  <c r="H345" i="60"/>
  <c r="H346" i="60"/>
  <c r="H311" i="60"/>
  <c r="H312" i="60"/>
  <c r="T194" i="60"/>
  <c r="G411" i="60"/>
  <c r="F411" i="60"/>
  <c r="F404" i="60"/>
  <c r="G404" i="60"/>
  <c r="G408" i="60"/>
  <c r="F408" i="60"/>
  <c r="T193" i="60"/>
  <c r="U196" i="60"/>
  <c r="T189" i="60"/>
  <c r="T192" i="60"/>
  <c r="U189" i="60"/>
  <c r="U194" i="60"/>
  <c r="T195" i="60"/>
  <c r="U188" i="60"/>
  <c r="U193" i="60"/>
  <c r="T190" i="60"/>
  <c r="U191" i="60"/>
  <c r="H5" i="11"/>
  <c r="C9" i="9"/>
  <c r="O165" i="74"/>
  <c r="N167" i="74"/>
  <c r="O167" i="74" s="1"/>
  <c r="N167" i="73"/>
  <c r="O167" i="73" s="1"/>
  <c r="C11" i="9"/>
  <c r="B5" i="11"/>
  <c r="M5" i="11"/>
  <c r="C3" i="9"/>
  <c r="D3" i="9" s="1"/>
  <c r="E3" i="9" s="1"/>
  <c r="C15" i="9"/>
  <c r="C4" i="9"/>
  <c r="D4" i="9" s="1"/>
  <c r="E4" i="9" s="1"/>
  <c r="C5" i="11"/>
  <c r="C7" i="9"/>
  <c r="F5" i="11"/>
  <c r="Q123" i="74"/>
  <c r="O159" i="74"/>
  <c r="P159" i="74" s="1"/>
  <c r="Q428" i="60" s="1"/>
  <c r="I5" i="11"/>
  <c r="C10" i="9"/>
  <c r="J6" i="11"/>
  <c r="L29" i="60"/>
  <c r="M29" i="60"/>
  <c r="J74" i="60"/>
  <c r="D74" i="60"/>
  <c r="L74" i="60"/>
  <c r="H74" i="60"/>
  <c r="G74" i="60"/>
  <c r="E74" i="60"/>
  <c r="I74" i="60"/>
  <c r="N74" i="60"/>
  <c r="F74" i="60"/>
  <c r="C74" i="60"/>
  <c r="M74" i="60"/>
  <c r="K74" i="60"/>
  <c r="B73" i="60"/>
  <c r="G647" i="60" l="1"/>
  <c r="G639" i="60"/>
  <c r="G638" i="60"/>
  <c r="G642" i="60"/>
  <c r="G640" i="60"/>
  <c r="G643" i="60"/>
  <c r="G641" i="60"/>
  <c r="E641" i="60"/>
  <c r="G637" i="60"/>
  <c r="G645" i="60"/>
  <c r="G646" i="60"/>
  <c r="D428" i="60" a="1"/>
  <c r="Q422" i="60"/>
  <c r="G416" i="60"/>
  <c r="F416" i="60"/>
  <c r="F73" i="60"/>
  <c r="H73" i="60"/>
  <c r="J73" i="60"/>
  <c r="N73" i="60"/>
  <c r="C73" i="60"/>
  <c r="E73" i="60"/>
  <c r="D73" i="60"/>
  <c r="M73" i="60"/>
  <c r="I73" i="60"/>
  <c r="G73" i="60"/>
  <c r="K73" i="60"/>
  <c r="L73" i="60"/>
  <c r="B72" i="60"/>
  <c r="D428" i="60" l="1"/>
  <c r="K437" i="60" s="1"/>
  <c r="K581" i="60"/>
  <c r="K527" i="60"/>
  <c r="K563" i="60"/>
  <c r="K545" i="60"/>
  <c r="L72" i="60"/>
  <c r="D72" i="60"/>
  <c r="H72" i="60"/>
  <c r="J72" i="60"/>
  <c r="F72" i="60"/>
  <c r="M72" i="60"/>
  <c r="G72" i="60"/>
  <c r="N72" i="60"/>
  <c r="K72" i="60"/>
  <c r="I72" i="60"/>
  <c r="E72" i="60"/>
  <c r="C72" i="60"/>
  <c r="B71" i="60"/>
  <c r="H445" i="60" l="1"/>
  <c r="L445" i="60" s="1"/>
  <c r="H441" i="60"/>
  <c r="L441" i="60" s="1"/>
  <c r="H440" i="60"/>
  <c r="L440" i="60" s="1"/>
  <c r="N71" i="60"/>
  <c r="H71" i="60"/>
  <c r="L71" i="60"/>
  <c r="K71" i="60"/>
  <c r="I71" i="60"/>
  <c r="M71" i="60"/>
  <c r="G71" i="60"/>
  <c r="E71" i="60"/>
  <c r="F71" i="60"/>
  <c r="D71" i="60"/>
  <c r="J71" i="60"/>
  <c r="C71" i="60"/>
  <c r="B70" i="60"/>
  <c r="L70" i="60" l="1"/>
  <c r="L80" i="60" s="1"/>
  <c r="N70" i="60"/>
  <c r="N80" i="60" s="1"/>
  <c r="D70" i="60"/>
  <c r="F70" i="60"/>
  <c r="F80" i="60" s="1"/>
  <c r="E70" i="60"/>
  <c r="E80" i="60" s="1"/>
  <c r="I70" i="60"/>
  <c r="I80" i="60" s="1"/>
  <c r="C70" i="60"/>
  <c r="G70" i="60"/>
  <c r="G80" i="60" s="1"/>
  <c r="M70" i="60"/>
  <c r="M80" i="60" s="1"/>
  <c r="K70" i="60"/>
  <c r="K80" i="60" s="1"/>
  <c r="H70" i="60"/>
  <c r="H80" i="60" s="1"/>
  <c r="J70" i="60"/>
  <c r="J80" i="60" s="1"/>
  <c r="C80" i="60" l="1"/>
  <c r="D80" i="60"/>
  <c r="B109" i="60"/>
  <c r="B170" i="60" s="1"/>
  <c r="B93" i="60"/>
  <c r="C170" i="60" l="1"/>
  <c r="E170" i="60"/>
  <c r="G170" i="60"/>
  <c r="I170" i="60"/>
  <c r="K170" i="60"/>
  <c r="M170" i="60"/>
  <c r="F170" i="60"/>
  <c r="J170" i="60"/>
  <c r="N170" i="60"/>
  <c r="D170" i="60"/>
  <c r="H170" i="60"/>
  <c r="L170" i="60"/>
  <c r="B108" i="60"/>
  <c r="B169" i="60" s="1"/>
  <c r="B125" i="60"/>
  <c r="B184" i="60" s="1"/>
  <c r="B196" i="60" s="1"/>
  <c r="B209" i="60" s="1"/>
  <c r="B92" i="60"/>
  <c r="C209" i="60" l="1"/>
  <c r="K209" i="60"/>
  <c r="I209" i="60"/>
  <c r="D209" i="60"/>
  <c r="L209" i="60"/>
  <c r="E209" i="60"/>
  <c r="M209" i="60"/>
  <c r="F209" i="60"/>
  <c r="N209" i="60"/>
  <c r="H209" i="60"/>
  <c r="G209" i="60"/>
  <c r="J209" i="60"/>
  <c r="B140" i="60"/>
  <c r="B156" i="60" s="1"/>
  <c r="J156" i="60" s="1"/>
  <c r="C184" i="60"/>
  <c r="E184" i="60"/>
  <c r="G184" i="60"/>
  <c r="I184" i="60"/>
  <c r="K184" i="60"/>
  <c r="M184" i="60"/>
  <c r="D184" i="60"/>
  <c r="H184" i="60"/>
  <c r="L184" i="60"/>
  <c r="F184" i="60"/>
  <c r="J184" i="60"/>
  <c r="N184" i="60"/>
  <c r="C169" i="60"/>
  <c r="E169" i="60"/>
  <c r="G169" i="60"/>
  <c r="I169" i="60"/>
  <c r="K169" i="60"/>
  <c r="M169" i="60"/>
  <c r="F169" i="60"/>
  <c r="J169" i="60"/>
  <c r="N169" i="60"/>
  <c r="D169" i="60"/>
  <c r="H169" i="60"/>
  <c r="L169" i="60"/>
  <c r="D156" i="60"/>
  <c r="H156" i="60"/>
  <c r="G156" i="60"/>
  <c r="K156" i="60"/>
  <c r="E156" i="60"/>
  <c r="B107" i="60"/>
  <c r="B168" i="60" s="1"/>
  <c r="B124" i="60"/>
  <c r="B183" i="60" s="1"/>
  <c r="B195" i="60" s="1"/>
  <c r="B208" i="60" s="1"/>
  <c r="B91" i="60"/>
  <c r="B106" i="60" s="1"/>
  <c r="B167" i="60" s="1"/>
  <c r="F156" i="60" l="1"/>
  <c r="I156" i="60"/>
  <c r="C156" i="60"/>
  <c r="G208" i="60"/>
  <c r="N208" i="60"/>
  <c r="H208" i="60"/>
  <c r="L208" i="60"/>
  <c r="M208" i="60"/>
  <c r="I208" i="60"/>
  <c r="J208" i="60"/>
  <c r="E208" i="60"/>
  <c r="F208" i="60"/>
  <c r="C208" i="60"/>
  <c r="K208" i="60"/>
  <c r="D208" i="60"/>
  <c r="N156" i="60"/>
  <c r="L156" i="60"/>
  <c r="M156" i="60"/>
  <c r="B139" i="60"/>
  <c r="B155" i="60" s="1"/>
  <c r="C183" i="60"/>
  <c r="E183" i="60"/>
  <c r="G183" i="60"/>
  <c r="I183" i="60"/>
  <c r="K183" i="60"/>
  <c r="M183" i="60"/>
  <c r="D183" i="60"/>
  <c r="H183" i="60"/>
  <c r="L183" i="60"/>
  <c r="F183" i="60"/>
  <c r="J183" i="60"/>
  <c r="N183" i="60"/>
  <c r="C167" i="60"/>
  <c r="E167" i="60"/>
  <c r="G167" i="60"/>
  <c r="I167" i="60"/>
  <c r="K167" i="60"/>
  <c r="M167" i="60"/>
  <c r="F167" i="60"/>
  <c r="J167" i="60"/>
  <c r="N167" i="60"/>
  <c r="D167" i="60"/>
  <c r="H167" i="60"/>
  <c r="L167" i="60"/>
  <c r="C168" i="60"/>
  <c r="E168" i="60"/>
  <c r="G168" i="60"/>
  <c r="I168" i="60"/>
  <c r="K168" i="60"/>
  <c r="M168" i="60"/>
  <c r="F168" i="60"/>
  <c r="J168" i="60"/>
  <c r="N168" i="60"/>
  <c r="D168" i="60"/>
  <c r="H168" i="60"/>
  <c r="L168" i="60"/>
  <c r="D155" i="60"/>
  <c r="F155" i="60"/>
  <c r="H155" i="60"/>
  <c r="J155" i="60"/>
  <c r="L155" i="60"/>
  <c r="N155" i="60"/>
  <c r="C155" i="60"/>
  <c r="G155" i="60"/>
  <c r="K155" i="60"/>
  <c r="E155" i="60"/>
  <c r="I155" i="60"/>
  <c r="M155" i="60"/>
  <c r="B122" i="60"/>
  <c r="B181" i="60" s="1"/>
  <c r="B193" i="60" s="1"/>
  <c r="B206" i="60" s="1"/>
  <c r="B90" i="60"/>
  <c r="B89" i="60" s="1"/>
  <c r="B123" i="60"/>
  <c r="B182" i="60" s="1"/>
  <c r="B194" i="60" s="1"/>
  <c r="B207" i="60" s="1"/>
  <c r="C207" i="60" l="1"/>
  <c r="K207" i="60"/>
  <c r="I207" i="60"/>
  <c r="D207" i="60"/>
  <c r="L207" i="60"/>
  <c r="J207" i="60"/>
  <c r="E207" i="60"/>
  <c r="M207" i="60"/>
  <c r="F207" i="60"/>
  <c r="N207" i="60"/>
  <c r="H207" i="60"/>
  <c r="G207" i="60"/>
  <c r="G206" i="60"/>
  <c r="F206" i="60"/>
  <c r="H206" i="60"/>
  <c r="L206" i="60"/>
  <c r="M206" i="60"/>
  <c r="I206" i="60"/>
  <c r="J206" i="60"/>
  <c r="E206" i="60"/>
  <c r="C206" i="60"/>
  <c r="K206" i="60"/>
  <c r="D206" i="60"/>
  <c r="N206" i="60"/>
  <c r="B138" i="60"/>
  <c r="B154" i="60" s="1"/>
  <c r="H154" i="60" s="1"/>
  <c r="C182" i="60"/>
  <c r="E182" i="60"/>
  <c r="G182" i="60"/>
  <c r="I182" i="60"/>
  <c r="K182" i="60"/>
  <c r="M182" i="60"/>
  <c r="D182" i="60"/>
  <c r="H182" i="60"/>
  <c r="L182" i="60"/>
  <c r="F182" i="60"/>
  <c r="J182" i="60"/>
  <c r="N182" i="60"/>
  <c r="B137" i="60"/>
  <c r="B153" i="60" s="1"/>
  <c r="F153" i="60" s="1"/>
  <c r="C181" i="60"/>
  <c r="E181" i="60"/>
  <c r="G181" i="60"/>
  <c r="I181" i="60"/>
  <c r="K181" i="60"/>
  <c r="M181" i="60"/>
  <c r="D181" i="60"/>
  <c r="H181" i="60"/>
  <c r="L181" i="60"/>
  <c r="F181" i="60"/>
  <c r="J181" i="60"/>
  <c r="N181" i="60"/>
  <c r="D154" i="60"/>
  <c r="F154" i="60"/>
  <c r="J154" i="60"/>
  <c r="L154" i="60"/>
  <c r="N154" i="60"/>
  <c r="C154" i="60"/>
  <c r="G154" i="60"/>
  <c r="K154" i="60"/>
  <c r="E154" i="60"/>
  <c r="M154" i="60"/>
  <c r="B105" i="60"/>
  <c r="B166" i="60" s="1"/>
  <c r="B88" i="60"/>
  <c r="B104" i="60"/>
  <c r="B165" i="60" s="1"/>
  <c r="I154" i="60" l="1"/>
  <c r="H153" i="60"/>
  <c r="D153" i="60"/>
  <c r="I153" i="60"/>
  <c r="K153" i="60"/>
  <c r="C153" i="60"/>
  <c r="L153" i="60"/>
  <c r="B121" i="60"/>
  <c r="B180" i="60" s="1"/>
  <c r="B192" i="60" s="1"/>
  <c r="B205" i="60" s="1"/>
  <c r="M153" i="60"/>
  <c r="E153" i="60"/>
  <c r="G153" i="60"/>
  <c r="N153" i="60"/>
  <c r="J153" i="60"/>
  <c r="C165" i="60"/>
  <c r="E165" i="60"/>
  <c r="G165" i="60"/>
  <c r="I165" i="60"/>
  <c r="K165" i="60"/>
  <c r="M165" i="60"/>
  <c r="D165" i="60"/>
  <c r="F165" i="60"/>
  <c r="J165" i="60"/>
  <c r="N165" i="60"/>
  <c r="H165" i="60"/>
  <c r="L165" i="60"/>
  <c r="C166" i="60"/>
  <c r="E166" i="60"/>
  <c r="G166" i="60"/>
  <c r="I166" i="60"/>
  <c r="K166" i="60"/>
  <c r="M166" i="60"/>
  <c r="F166" i="60"/>
  <c r="J166" i="60"/>
  <c r="N166" i="60"/>
  <c r="D166" i="60"/>
  <c r="H166" i="60"/>
  <c r="L166" i="60"/>
  <c r="B120" i="60"/>
  <c r="B179" i="60" s="1"/>
  <c r="B191" i="60" s="1"/>
  <c r="B204" i="60" s="1"/>
  <c r="B87" i="60"/>
  <c r="B103" i="60"/>
  <c r="B164" i="60" s="1"/>
  <c r="G204" i="60" l="1"/>
  <c r="H204" i="60"/>
  <c r="L204" i="60"/>
  <c r="M204" i="60"/>
  <c r="N204" i="60"/>
  <c r="I204" i="60"/>
  <c r="J204" i="60"/>
  <c r="C204" i="60"/>
  <c r="K204" i="60"/>
  <c r="D204" i="60"/>
  <c r="E204" i="60"/>
  <c r="F204" i="60"/>
  <c r="C205" i="60"/>
  <c r="K205" i="60"/>
  <c r="I205" i="60"/>
  <c r="D205" i="60"/>
  <c r="L205" i="60"/>
  <c r="E205" i="60"/>
  <c r="M205" i="60"/>
  <c r="F205" i="60"/>
  <c r="N205" i="60"/>
  <c r="H205" i="60"/>
  <c r="J205" i="60"/>
  <c r="G205" i="60"/>
  <c r="B135" i="60"/>
  <c r="B151" i="60" s="1"/>
  <c r="C179" i="60"/>
  <c r="E179" i="60"/>
  <c r="G179" i="60"/>
  <c r="I179" i="60"/>
  <c r="K179" i="60"/>
  <c r="M179" i="60"/>
  <c r="D179" i="60"/>
  <c r="H179" i="60"/>
  <c r="L179" i="60"/>
  <c r="F179" i="60"/>
  <c r="J179" i="60"/>
  <c r="N179" i="60"/>
  <c r="B136" i="60"/>
  <c r="B152" i="60" s="1"/>
  <c r="C180" i="60"/>
  <c r="E180" i="60"/>
  <c r="G180" i="60"/>
  <c r="I180" i="60"/>
  <c r="K180" i="60"/>
  <c r="M180" i="60"/>
  <c r="D180" i="60"/>
  <c r="H180" i="60"/>
  <c r="L180" i="60"/>
  <c r="F180" i="60"/>
  <c r="J180" i="60"/>
  <c r="N180" i="60"/>
  <c r="C164" i="60"/>
  <c r="E164" i="60"/>
  <c r="G164" i="60"/>
  <c r="I164" i="60"/>
  <c r="K164" i="60"/>
  <c r="M164" i="60"/>
  <c r="D164" i="60"/>
  <c r="F164" i="60"/>
  <c r="H164" i="60"/>
  <c r="J164" i="60"/>
  <c r="L164" i="60"/>
  <c r="N164" i="60"/>
  <c r="D151" i="60"/>
  <c r="F151" i="60"/>
  <c r="H151" i="60"/>
  <c r="J151" i="60"/>
  <c r="L151" i="60"/>
  <c r="N151" i="60"/>
  <c r="C151" i="60"/>
  <c r="G151" i="60"/>
  <c r="K151" i="60"/>
  <c r="E151" i="60"/>
  <c r="I151" i="60"/>
  <c r="M151" i="60"/>
  <c r="B119" i="60"/>
  <c r="B178" i="60" s="1"/>
  <c r="B190" i="60" s="1"/>
  <c r="B203" i="60" s="1"/>
  <c r="B86" i="60"/>
  <c r="B102" i="60"/>
  <c r="B163" i="60" s="1"/>
  <c r="C203" i="60" l="1"/>
  <c r="K203" i="60"/>
  <c r="H203" i="60"/>
  <c r="I203" i="60"/>
  <c r="D203" i="60"/>
  <c r="L203" i="60"/>
  <c r="E203" i="60"/>
  <c r="M203" i="60"/>
  <c r="F203" i="60"/>
  <c r="N203" i="60"/>
  <c r="G203" i="60"/>
  <c r="J203" i="60"/>
  <c r="D152" i="60"/>
  <c r="H152" i="60"/>
  <c r="L152" i="60"/>
  <c r="C152" i="60"/>
  <c r="K152" i="60"/>
  <c r="I152" i="60"/>
  <c r="F152" i="60"/>
  <c r="J152" i="60"/>
  <c r="N152" i="60"/>
  <c r="G152" i="60"/>
  <c r="E152" i="60"/>
  <c r="M152" i="60"/>
  <c r="B134" i="60"/>
  <c r="B150" i="60" s="1"/>
  <c r="C178" i="60"/>
  <c r="E178" i="60"/>
  <c r="G178" i="60"/>
  <c r="I178" i="60"/>
  <c r="K178" i="60"/>
  <c r="M178" i="60"/>
  <c r="D178" i="60"/>
  <c r="H178" i="60"/>
  <c r="L178" i="60"/>
  <c r="F178" i="60"/>
  <c r="J178" i="60"/>
  <c r="N178" i="60"/>
  <c r="C163" i="60"/>
  <c r="E163" i="60"/>
  <c r="G163" i="60"/>
  <c r="I163" i="60"/>
  <c r="K163" i="60"/>
  <c r="M163" i="60"/>
  <c r="D163" i="60"/>
  <c r="F163" i="60"/>
  <c r="H163" i="60"/>
  <c r="J163" i="60"/>
  <c r="L163" i="60"/>
  <c r="N163" i="60"/>
  <c r="D150" i="60"/>
  <c r="F150" i="60"/>
  <c r="H150" i="60"/>
  <c r="J150" i="60"/>
  <c r="L150" i="60"/>
  <c r="N150" i="60"/>
  <c r="C150" i="60"/>
  <c r="E150" i="60"/>
  <c r="G150" i="60"/>
  <c r="K150" i="60"/>
  <c r="I150" i="60"/>
  <c r="M150" i="60"/>
  <c r="B118" i="60"/>
  <c r="B177" i="60" s="1"/>
  <c r="B189" i="60" s="1"/>
  <c r="B202" i="60" s="1"/>
  <c r="B85" i="60"/>
  <c r="B101" i="60"/>
  <c r="B162" i="60" s="1"/>
  <c r="G202" i="60" l="1"/>
  <c r="N202" i="60"/>
  <c r="H202" i="60"/>
  <c r="L202" i="60"/>
  <c r="E202" i="60"/>
  <c r="I202" i="60"/>
  <c r="J202" i="60"/>
  <c r="D202" i="60"/>
  <c r="M202" i="60"/>
  <c r="F202" i="60"/>
  <c r="C202" i="60"/>
  <c r="K202" i="60"/>
  <c r="B133" i="60"/>
  <c r="B149" i="60" s="1"/>
  <c r="N149" i="60" s="1"/>
  <c r="C177" i="60"/>
  <c r="E177" i="60"/>
  <c r="G177" i="60"/>
  <c r="I177" i="60"/>
  <c r="K177" i="60"/>
  <c r="M177" i="60"/>
  <c r="D177" i="60"/>
  <c r="H177" i="60"/>
  <c r="L177" i="60"/>
  <c r="F177" i="60"/>
  <c r="J177" i="60"/>
  <c r="N177" i="60"/>
  <c r="D162" i="60"/>
  <c r="D171" i="60" s="1"/>
  <c r="F162" i="60"/>
  <c r="F171" i="60" s="1"/>
  <c r="H162" i="60"/>
  <c r="H171" i="60" s="1"/>
  <c r="J162" i="60"/>
  <c r="J171" i="60" s="1"/>
  <c r="L162" i="60"/>
  <c r="L171" i="60" s="1"/>
  <c r="N162" i="60"/>
  <c r="N171" i="60" s="1"/>
  <c r="G162" i="60"/>
  <c r="G171" i="60" s="1"/>
  <c r="K162" i="60"/>
  <c r="K171" i="60" s="1"/>
  <c r="C162" i="60"/>
  <c r="C171" i="60" s="1"/>
  <c r="E162" i="60"/>
  <c r="E171" i="60" s="1"/>
  <c r="I162" i="60"/>
  <c r="I171" i="60" s="1"/>
  <c r="M162" i="60"/>
  <c r="M171" i="60" s="1"/>
  <c r="F149" i="60"/>
  <c r="I149" i="60"/>
  <c r="K149" i="60"/>
  <c r="M149" i="60"/>
  <c r="B117" i="60"/>
  <c r="B176" i="60" s="1"/>
  <c r="B188" i="60" s="1"/>
  <c r="B201" i="60" s="1"/>
  <c r="B100" i="60"/>
  <c r="J149" i="60" l="1"/>
  <c r="H149" i="60"/>
  <c r="E149" i="60"/>
  <c r="L149" i="60"/>
  <c r="G149" i="60"/>
  <c r="D149" i="60"/>
  <c r="C149" i="60"/>
  <c r="C201" i="60"/>
  <c r="K201" i="60"/>
  <c r="I201" i="60"/>
  <c r="D201" i="60"/>
  <c r="L201" i="60"/>
  <c r="J201" i="60"/>
  <c r="E201" i="60"/>
  <c r="M201" i="60"/>
  <c r="F201" i="60"/>
  <c r="N201" i="60"/>
  <c r="G201" i="60"/>
  <c r="H201" i="60"/>
  <c r="B132" i="60"/>
  <c r="B148" i="60" s="1"/>
  <c r="D148" i="60" s="1"/>
  <c r="C176" i="60"/>
  <c r="E176" i="60"/>
  <c r="G176" i="60"/>
  <c r="I176" i="60"/>
  <c r="K176" i="60"/>
  <c r="M176" i="60"/>
  <c r="D176" i="60"/>
  <c r="H176" i="60"/>
  <c r="L176" i="60"/>
  <c r="F176" i="60"/>
  <c r="J176" i="60"/>
  <c r="N176" i="60"/>
  <c r="C148" i="60"/>
  <c r="B116" i="60"/>
  <c r="B175" i="60" s="1"/>
  <c r="B187" i="60" s="1"/>
  <c r="B200" i="60" s="1"/>
  <c r="H12" i="17"/>
  <c r="C45" i="11" s="1"/>
  <c r="H13" i="17"/>
  <c r="D45" i="11" s="1"/>
  <c r="H14" i="17"/>
  <c r="E45" i="11" s="1"/>
  <c r="H15" i="17"/>
  <c r="F45" i="11" s="1"/>
  <c r="H16" i="17"/>
  <c r="G45" i="11" s="1"/>
  <c r="H17" i="17"/>
  <c r="H45" i="11" s="1"/>
  <c r="H18" i="17"/>
  <c r="I45" i="11" s="1"/>
  <c r="H19" i="17"/>
  <c r="J45" i="11" s="1"/>
  <c r="H20" i="17"/>
  <c r="K45" i="11" s="1"/>
  <c r="H11" i="17"/>
  <c r="B45" i="11" s="1"/>
  <c r="M148" i="60" l="1"/>
  <c r="E148" i="60"/>
  <c r="N148" i="60"/>
  <c r="L148" i="60"/>
  <c r="J148" i="60"/>
  <c r="K148" i="60"/>
  <c r="H148" i="60"/>
  <c r="I148" i="60"/>
  <c r="F148" i="60"/>
  <c r="G148" i="60"/>
  <c r="H200" i="60"/>
  <c r="I200" i="60"/>
  <c r="M200" i="60"/>
  <c r="N200" i="60"/>
  <c r="G200" i="60"/>
  <c r="J200" i="60"/>
  <c r="K200" i="60"/>
  <c r="F200" i="60"/>
  <c r="D200" i="60"/>
  <c r="L200" i="60"/>
  <c r="E200" i="60"/>
  <c r="C200" i="60"/>
  <c r="D175" i="60"/>
  <c r="F175" i="60"/>
  <c r="H175" i="60"/>
  <c r="J175" i="60"/>
  <c r="L175" i="60"/>
  <c r="N175" i="60"/>
  <c r="E175" i="60"/>
  <c r="I175" i="60"/>
  <c r="M175" i="60"/>
  <c r="G175" i="60"/>
  <c r="K175" i="60"/>
  <c r="C175" i="60"/>
  <c r="B131" i="60"/>
  <c r="B147" i="60" s="1"/>
  <c r="E3" i="18"/>
  <c r="C47" i="11" s="1"/>
  <c r="E4" i="18"/>
  <c r="D47" i="11" s="1"/>
  <c r="E5" i="18"/>
  <c r="E47" i="11" s="1"/>
  <c r="E6" i="18"/>
  <c r="F47" i="11" s="1"/>
  <c r="E7" i="18"/>
  <c r="G47" i="11" s="1"/>
  <c r="E8" i="18"/>
  <c r="H47" i="11" s="1"/>
  <c r="E9" i="18"/>
  <c r="I47" i="11" s="1"/>
  <c r="E2" i="18"/>
  <c r="B47" i="11" s="1"/>
  <c r="E147" i="60" l="1"/>
  <c r="G147" i="60"/>
  <c r="I147" i="60"/>
  <c r="K147" i="60"/>
  <c r="M147" i="60"/>
  <c r="C147" i="60"/>
  <c r="D147" i="60"/>
  <c r="H147" i="60"/>
  <c r="L147" i="60"/>
  <c r="F147" i="60"/>
  <c r="J147" i="60"/>
  <c r="N147" i="60"/>
  <c r="A24" i="9" l="1"/>
  <c r="F10" i="17" l="1"/>
  <c r="B29" i="11" l="1"/>
  <c r="D29" i="11"/>
  <c r="E29" i="11"/>
  <c r="H29" i="11"/>
  <c r="C29" i="11"/>
  <c r="F29" i="11"/>
  <c r="G29" i="11"/>
  <c r="C2" i="17" l="1"/>
  <c r="C43" i="17" s="1"/>
  <c r="D2" i="17"/>
  <c r="D43" i="17" s="1"/>
  <c r="E2" i="17"/>
  <c r="E43" i="17" s="1"/>
  <c r="F2" i="17"/>
  <c r="F43" i="17" s="1"/>
  <c r="G2" i="17"/>
  <c r="G43" i="17" s="1"/>
  <c r="J27" i="11" l="1"/>
  <c r="E34" i="17" l="1"/>
  <c r="F255" i="60" s="1"/>
  <c r="F34" i="17" l="1"/>
  <c r="G255" i="60" s="1"/>
  <c r="G34" i="17"/>
  <c r="H255" i="60" s="1"/>
  <c r="I27" i="11" l="1"/>
  <c r="F27" i="11"/>
  <c r="H27" i="11" l="1"/>
  <c r="E27" i="11"/>
  <c r="D27" i="11"/>
  <c r="G27" i="11"/>
  <c r="C34" i="17" l="1"/>
  <c r="D255" i="60" s="1"/>
  <c r="D34" i="17"/>
  <c r="E255" i="60" s="1"/>
  <c r="C30" i="17"/>
  <c r="D251" i="60" s="1"/>
  <c r="I255" i="60" l="1"/>
  <c r="C31" i="17"/>
  <c r="D252" i="60" s="1"/>
  <c r="C32" i="17"/>
  <c r="D253" i="60" s="1"/>
  <c r="C29" i="17"/>
  <c r="D250" i="60" s="1"/>
  <c r="C33" i="17"/>
  <c r="D254" i="60" s="1"/>
  <c r="C10" i="17" l="1"/>
  <c r="E33" i="17"/>
  <c r="F254" i="60" s="1"/>
  <c r="E32" i="17"/>
  <c r="F253" i="60" s="1"/>
  <c r="E31" i="17"/>
  <c r="F252" i="60" s="1"/>
  <c r="E30" i="17"/>
  <c r="F251" i="60" s="1"/>
  <c r="E29" i="17"/>
  <c r="F250" i="60" s="1"/>
  <c r="E28" i="17"/>
  <c r="F249" i="60" s="1"/>
  <c r="E27" i="17"/>
  <c r="F248" i="60" s="1"/>
  <c r="E26" i="17"/>
  <c r="D10" i="17"/>
  <c r="B10" i="17"/>
  <c r="F9" i="17"/>
  <c r="E9" i="17"/>
  <c r="D9" i="17"/>
  <c r="C9" i="17"/>
  <c r="B9" i="17"/>
  <c r="F8" i="17"/>
  <c r="E8" i="17"/>
  <c r="D8" i="17"/>
  <c r="C8" i="17"/>
  <c r="B8" i="17"/>
  <c r="F7" i="17"/>
  <c r="E7" i="17"/>
  <c r="D7" i="17"/>
  <c r="C7" i="17"/>
  <c r="B7" i="17"/>
  <c r="E6" i="17"/>
  <c r="D6" i="17"/>
  <c r="C6" i="17"/>
  <c r="B6" i="17"/>
  <c r="F5" i="17"/>
  <c r="E5" i="17"/>
  <c r="D5" i="17"/>
  <c r="C5" i="17"/>
  <c r="B5" i="17"/>
  <c r="D1" i="18"/>
  <c r="C1" i="18"/>
  <c r="B1" i="18"/>
  <c r="B2" i="17"/>
  <c r="B43" i="17" s="1"/>
  <c r="A36" i="11"/>
  <c r="A31" i="11"/>
  <c r="A26" i="11"/>
  <c r="A21" i="11"/>
  <c r="A17" i="11"/>
  <c r="A13" i="11"/>
  <c r="F247" i="60" l="1"/>
  <c r="E59" i="17"/>
  <c r="E61" i="17" s="1"/>
  <c r="E37" i="17"/>
  <c r="M11" i="9"/>
  <c r="L11" i="9"/>
  <c r="J11" i="9"/>
  <c r="K11" i="9"/>
  <c r="H11" i="9"/>
  <c r="I11" i="9"/>
  <c r="J6" i="9"/>
  <c r="L6" i="9"/>
  <c r="M6" i="9"/>
  <c r="H6" i="9"/>
  <c r="K6" i="9"/>
  <c r="I6" i="9"/>
  <c r="H5" i="9"/>
  <c r="I5" i="9"/>
  <c r="L5" i="9"/>
  <c r="J5" i="9"/>
  <c r="M5" i="9"/>
  <c r="K5" i="9"/>
  <c r="L8" i="9"/>
  <c r="I8" i="9"/>
  <c r="J8" i="9"/>
  <c r="H8" i="9"/>
  <c r="M8" i="9"/>
  <c r="K8" i="9"/>
  <c r="A22" i="9"/>
  <c r="H12" i="9"/>
  <c r="H22" i="9" s="1"/>
  <c r="M12" i="9"/>
  <c r="I12" i="9"/>
  <c r="L12" i="9"/>
  <c r="G271" i="60" s="1"/>
  <c r="J12" i="9"/>
  <c r="E271" i="60" s="1"/>
  <c r="K12" i="9"/>
  <c r="F271" i="60" s="1"/>
  <c r="L7" i="9"/>
  <c r="H7" i="9"/>
  <c r="M7" i="9"/>
  <c r="I7" i="9"/>
  <c r="J7" i="9"/>
  <c r="K7" i="9"/>
  <c r="I9" i="9"/>
  <c r="H9" i="9"/>
  <c r="J9" i="9"/>
  <c r="L9" i="9"/>
  <c r="K9" i="9"/>
  <c r="M9" i="9"/>
  <c r="M10" i="9"/>
  <c r="H10" i="9"/>
  <c r="I10" i="9"/>
  <c r="L10" i="9"/>
  <c r="K10" i="9"/>
  <c r="J10" i="9"/>
  <c r="J33" i="11"/>
  <c r="F26" i="17"/>
  <c r="D37" i="11"/>
  <c r="I35" i="9"/>
  <c r="H37" i="11"/>
  <c r="C24" i="11"/>
  <c r="F34" i="11"/>
  <c r="B34" i="11"/>
  <c r="D24" i="11"/>
  <c r="C34" i="11"/>
  <c r="D34" i="11"/>
  <c r="I22" i="11"/>
  <c r="G32" i="11"/>
  <c r="F32" i="11"/>
  <c r="E22" i="11"/>
  <c r="E32" i="11"/>
  <c r="I32" i="11"/>
  <c r="I18" i="11"/>
  <c r="B24" i="11"/>
  <c r="H24" i="11"/>
  <c r="C652" i="60" l="1"/>
  <c r="G247" i="60"/>
  <c r="C267" i="60"/>
  <c r="C269" i="60"/>
  <c r="C21" i="18"/>
  <c r="F267" i="60"/>
  <c r="G38" i="11"/>
  <c r="H267" i="60"/>
  <c r="I19" i="11"/>
  <c r="D269" i="60"/>
  <c r="H19" i="11"/>
  <c r="D268" i="60"/>
  <c r="D19" i="11"/>
  <c r="D264" i="60"/>
  <c r="D423" i="60" a="1"/>
  <c r="J19" i="11"/>
  <c r="D270" i="60"/>
  <c r="B18" i="18"/>
  <c r="E264" i="60"/>
  <c r="D18" i="18"/>
  <c r="G264" i="60"/>
  <c r="C20" i="18"/>
  <c r="F266" i="60"/>
  <c r="B21" i="18"/>
  <c r="E267" i="60"/>
  <c r="C264" i="60"/>
  <c r="D422" i="60" a="1"/>
  <c r="J15" i="11"/>
  <c r="C270" i="60"/>
  <c r="D19" i="18"/>
  <c r="G265" i="60"/>
  <c r="B19" i="18"/>
  <c r="E265" i="60"/>
  <c r="I38" i="11"/>
  <c r="H269" i="60"/>
  <c r="B20" i="18"/>
  <c r="E266" i="60"/>
  <c r="I17" i="9"/>
  <c r="D271" i="60"/>
  <c r="G19" i="11"/>
  <c r="D267" i="60"/>
  <c r="E19" i="11"/>
  <c r="D265" i="60"/>
  <c r="C24" i="18"/>
  <c r="F270" i="60"/>
  <c r="C23" i="18"/>
  <c r="F269" i="60"/>
  <c r="H38" i="11"/>
  <c r="H268" i="60"/>
  <c r="F19" i="11"/>
  <c r="D266" i="60"/>
  <c r="M17" i="9"/>
  <c r="H271" i="60"/>
  <c r="D21" i="18"/>
  <c r="G267" i="60"/>
  <c r="C19" i="18"/>
  <c r="F265" i="60"/>
  <c r="B24" i="18"/>
  <c r="E270" i="60"/>
  <c r="D20" i="18"/>
  <c r="G266" i="60"/>
  <c r="H15" i="11"/>
  <c r="C268" i="60"/>
  <c r="C22" i="18"/>
  <c r="F268" i="60"/>
  <c r="F38" i="11"/>
  <c r="H266" i="60"/>
  <c r="H17" i="9"/>
  <c r="C271" i="60"/>
  <c r="C18" i="18"/>
  <c r="F264" i="60"/>
  <c r="E15" i="11"/>
  <c r="C265" i="60"/>
  <c r="D24" i="18"/>
  <c r="G270" i="60"/>
  <c r="B22" i="18"/>
  <c r="E268" i="60"/>
  <c r="D23" i="18"/>
  <c r="G269" i="60"/>
  <c r="B23" i="18"/>
  <c r="E269" i="60"/>
  <c r="D22" i="18"/>
  <c r="G268" i="60"/>
  <c r="F15" i="11"/>
  <c r="C266" i="60"/>
  <c r="D38" i="11"/>
  <c r="H264" i="60"/>
  <c r="D427" i="60" a="1"/>
  <c r="E38" i="11"/>
  <c r="H265" i="60"/>
  <c r="J38" i="11"/>
  <c r="H270" i="60"/>
  <c r="F23" i="11"/>
  <c r="J28" i="11"/>
  <c r="B43" i="11"/>
  <c r="G33" i="11"/>
  <c r="H33" i="11"/>
  <c r="D43" i="11"/>
  <c r="K17" i="9"/>
  <c r="C25" i="18"/>
  <c r="L17" i="9"/>
  <c r="D25" i="18"/>
  <c r="C43" i="11"/>
  <c r="J23" i="11"/>
  <c r="J17" i="9"/>
  <c r="B25" i="18"/>
  <c r="G23" i="11"/>
  <c r="I23" i="11"/>
  <c r="D33" i="11"/>
  <c r="E23" i="11"/>
  <c r="G9" i="9"/>
  <c r="N9" i="9" s="1"/>
  <c r="K28" i="11"/>
  <c r="K22" i="9"/>
  <c r="K23" i="9" s="1"/>
  <c r="K24" i="9" s="1"/>
  <c r="C706" i="60" s="1"/>
  <c r="E706" i="60" s="1"/>
  <c r="K23" i="11"/>
  <c r="J22" i="9"/>
  <c r="J23" i="9" s="1"/>
  <c r="J24" i="9" s="1"/>
  <c r="C705" i="60" s="1"/>
  <c r="E705" i="60" s="1"/>
  <c r="G10" i="9"/>
  <c r="N10" i="9" s="1"/>
  <c r="F28" i="11"/>
  <c r="K33" i="11"/>
  <c r="L22" i="9"/>
  <c r="L23" i="9" s="1"/>
  <c r="L24" i="9" s="1"/>
  <c r="C707" i="60" s="1"/>
  <c r="E707" i="60" s="1"/>
  <c r="G5" i="9"/>
  <c r="N5" i="9" s="1"/>
  <c r="D15" i="11"/>
  <c r="G11" i="9"/>
  <c r="G8" i="9"/>
  <c r="K19" i="11"/>
  <c r="I22" i="9"/>
  <c r="I23" i="9" s="1"/>
  <c r="I24" i="9" s="1"/>
  <c r="C704" i="60" s="1"/>
  <c r="E704" i="60" s="1"/>
  <c r="K38" i="11"/>
  <c r="M22" i="9"/>
  <c r="M23" i="9" s="1"/>
  <c r="M24" i="9" s="1"/>
  <c r="C708" i="60" s="1"/>
  <c r="E708" i="60" s="1"/>
  <c r="E28" i="11"/>
  <c r="F33" i="11"/>
  <c r="I15" i="11"/>
  <c r="E33" i="11"/>
  <c r="I33" i="11"/>
  <c r="G12" i="9"/>
  <c r="N12" i="9" s="1"/>
  <c r="K15" i="11"/>
  <c r="D28" i="11"/>
  <c r="G6" i="9"/>
  <c r="N6" i="9" s="1"/>
  <c r="H23" i="11"/>
  <c r="D23" i="11"/>
  <c r="G15" i="11"/>
  <c r="G7" i="9"/>
  <c r="N7" i="9" s="1"/>
  <c r="H23" i="9"/>
  <c r="H28" i="9" s="1"/>
  <c r="B27" i="17"/>
  <c r="C26" i="17"/>
  <c r="B28" i="17"/>
  <c r="C249" i="60" s="1"/>
  <c r="D18" i="11"/>
  <c r="C27" i="17"/>
  <c r="D248" i="60" s="1"/>
  <c r="C28" i="17"/>
  <c r="D249" i="60" s="1"/>
  <c r="B29" i="17"/>
  <c r="C250" i="60" s="1"/>
  <c r="D27" i="17"/>
  <c r="E248" i="60" s="1"/>
  <c r="D26" i="17"/>
  <c r="G28" i="11"/>
  <c r="K27" i="11"/>
  <c r="I28" i="11"/>
  <c r="H28" i="11"/>
  <c r="J32" i="11"/>
  <c r="G26" i="17"/>
  <c r="G27" i="17"/>
  <c r="H248" i="60" s="1"/>
  <c r="D22" i="11"/>
  <c r="H34" i="11"/>
  <c r="H43" i="11" s="1"/>
  <c r="E34" i="11"/>
  <c r="F24" i="11"/>
  <c r="F43" i="11" s="1"/>
  <c r="G34" i="11"/>
  <c r="G24" i="11"/>
  <c r="D33" i="17"/>
  <c r="E254" i="60" s="1"/>
  <c r="D29" i="17"/>
  <c r="E250" i="60" s="1"/>
  <c r="F33" i="17"/>
  <c r="G254" i="60" s="1"/>
  <c r="F29" i="17"/>
  <c r="G250" i="60" s="1"/>
  <c r="H22" i="11"/>
  <c r="D32" i="17"/>
  <c r="E253" i="60" s="1"/>
  <c r="F30" i="17"/>
  <c r="G251" i="60" s="1"/>
  <c r="B31" i="17"/>
  <c r="C252" i="60" s="1"/>
  <c r="E24" i="11"/>
  <c r="F27" i="17"/>
  <c r="G248" i="60" s="1"/>
  <c r="D32" i="11"/>
  <c r="D28" i="17"/>
  <c r="E249" i="60" s="1"/>
  <c r="F22" i="11"/>
  <c r="E18" i="11"/>
  <c r="F28" i="17"/>
  <c r="G249" i="60" s="1"/>
  <c r="G28" i="17"/>
  <c r="H249" i="60" s="1"/>
  <c r="E37" i="11"/>
  <c r="H18" i="11"/>
  <c r="G30" i="17"/>
  <c r="H251" i="60" s="1"/>
  <c r="G37" i="11"/>
  <c r="G33" i="17"/>
  <c r="H254" i="60" s="1"/>
  <c r="J37" i="11"/>
  <c r="G31" i="17"/>
  <c r="H252" i="60" s="1"/>
  <c r="F18" i="11"/>
  <c r="G29" i="17"/>
  <c r="H250" i="60" s="1"/>
  <c r="F37" i="11"/>
  <c r="G32" i="17"/>
  <c r="H253" i="60" s="1"/>
  <c r="I37" i="11"/>
  <c r="I41" i="11" s="1"/>
  <c r="D33" i="18" l="1"/>
  <c r="C33" i="18"/>
  <c r="B33" i="18"/>
  <c r="C30" i="18"/>
  <c r="C28" i="18" s="1"/>
  <c r="B28" i="18"/>
  <c r="D30" i="18"/>
  <c r="D28" i="18" s="1"/>
  <c r="D247" i="60"/>
  <c r="C59" i="17"/>
  <c r="C61" i="17" s="1"/>
  <c r="C248" i="60"/>
  <c r="H247" i="60"/>
  <c r="G59" i="17"/>
  <c r="G61" i="17" s="1"/>
  <c r="E247" i="60"/>
  <c r="I264" i="60"/>
  <c r="I269" i="60"/>
  <c r="I267" i="60"/>
  <c r="J42" i="11"/>
  <c r="I265" i="60"/>
  <c r="D427" i="60"/>
  <c r="G589" i="60"/>
  <c r="G499" i="60"/>
  <c r="G553" i="60"/>
  <c r="G517" i="60"/>
  <c r="G481" i="60"/>
  <c r="G463" i="60"/>
  <c r="G535" i="60"/>
  <c r="G571" i="60"/>
  <c r="I249" i="60"/>
  <c r="I268" i="60"/>
  <c r="D423" i="60"/>
  <c r="G531" i="60"/>
  <c r="G513" i="60"/>
  <c r="G477" i="60"/>
  <c r="G567" i="60"/>
  <c r="G585" i="60"/>
  <c r="G495" i="60"/>
  <c r="G549" i="60"/>
  <c r="G459" i="60"/>
  <c r="I248" i="60"/>
  <c r="I266" i="60"/>
  <c r="I271" i="60"/>
  <c r="I270" i="60"/>
  <c r="I250" i="60"/>
  <c r="F256" i="60"/>
  <c r="D422" i="60"/>
  <c r="G584" i="60"/>
  <c r="G494" i="60"/>
  <c r="G458" i="60"/>
  <c r="G548" i="60"/>
  <c r="G476" i="60"/>
  <c r="G512" i="60"/>
  <c r="G530" i="60"/>
  <c r="G566" i="60"/>
  <c r="I566" i="60" s="1"/>
  <c r="L27" i="11"/>
  <c r="D384" i="60" s="1"/>
  <c r="F8" i="9"/>
  <c r="N8" i="9"/>
  <c r="N11" i="9"/>
  <c r="F11" i="9"/>
  <c r="H42" i="11"/>
  <c r="D41" i="11"/>
  <c r="E43" i="11"/>
  <c r="G43" i="11"/>
  <c r="F42" i="11"/>
  <c r="E42" i="11"/>
  <c r="K42" i="11"/>
  <c r="F41" i="11"/>
  <c r="F46" i="11"/>
  <c r="F10" i="11"/>
  <c r="F11" i="11" s="1"/>
  <c r="E10" i="11"/>
  <c r="E11" i="11" s="1"/>
  <c r="E46" i="11"/>
  <c r="I42" i="11"/>
  <c r="J10" i="11"/>
  <c r="J11" i="11" s="1"/>
  <c r="J46" i="11"/>
  <c r="F5" i="9"/>
  <c r="D46" i="11"/>
  <c r="D10" i="11"/>
  <c r="H46" i="11"/>
  <c r="H10" i="11"/>
  <c r="H11" i="11" s="1"/>
  <c r="E41" i="11"/>
  <c r="G42" i="11"/>
  <c r="K46" i="11"/>
  <c r="K10" i="11"/>
  <c r="K11" i="11" s="1"/>
  <c r="G10" i="11"/>
  <c r="G11" i="11" s="1"/>
  <c r="G46" i="11"/>
  <c r="D42" i="11"/>
  <c r="I46" i="11"/>
  <c r="I10" i="11"/>
  <c r="I11" i="11" s="1"/>
  <c r="H24" i="9"/>
  <c r="C703" i="60" s="1"/>
  <c r="E703" i="60" s="1"/>
  <c r="G37" i="17"/>
  <c r="F12" i="9"/>
  <c r="F6" i="9"/>
  <c r="B33" i="17"/>
  <c r="C254" i="60" s="1"/>
  <c r="I254" i="60" s="1"/>
  <c r="C251" i="60"/>
  <c r="B32" i="17"/>
  <c r="C253" i="60" s="1"/>
  <c r="F7" i="9"/>
  <c r="E22" i="17"/>
  <c r="D31" i="17"/>
  <c r="E252" i="60" s="1"/>
  <c r="G22" i="11"/>
  <c r="D30" i="17"/>
  <c r="E251" i="60" s="1"/>
  <c r="F10" i="9"/>
  <c r="J22" i="11"/>
  <c r="F9" i="9"/>
  <c r="H32" i="11"/>
  <c r="H41" i="11" s="1"/>
  <c r="F31" i="17"/>
  <c r="G252" i="60" s="1"/>
  <c r="J18" i="11"/>
  <c r="F32" i="17"/>
  <c r="G253" i="60" s="1"/>
  <c r="K37" i="11"/>
  <c r="G18" i="11"/>
  <c r="I247" i="60" l="1"/>
  <c r="D59" i="17"/>
  <c r="D61" i="17" s="1"/>
  <c r="B59" i="17"/>
  <c r="B61" i="17" s="1"/>
  <c r="F59" i="17"/>
  <c r="F61" i="17" s="1"/>
  <c r="I252" i="60"/>
  <c r="F584" i="60"/>
  <c r="F591" i="60" s="1"/>
  <c r="F458" i="60"/>
  <c r="G440" i="60"/>
  <c r="F531" i="60"/>
  <c r="I513" i="60"/>
  <c r="F481" i="60"/>
  <c r="G488" i="60" s="1"/>
  <c r="I463" i="60"/>
  <c r="H481" i="60" s="1"/>
  <c r="F548" i="60"/>
  <c r="F555" i="60" s="1"/>
  <c r="I530" i="60"/>
  <c r="F549" i="60"/>
  <c r="G556" i="60" s="1"/>
  <c r="I531" i="60"/>
  <c r="I481" i="60"/>
  <c r="F499" i="60"/>
  <c r="G506" i="60" s="1"/>
  <c r="I459" i="60"/>
  <c r="H477" i="60" s="1"/>
  <c r="F477" i="60"/>
  <c r="G484" i="60" s="1"/>
  <c r="G441" i="60"/>
  <c r="F459" i="60"/>
  <c r="F535" i="60"/>
  <c r="G542" i="60" s="1"/>
  <c r="I517" i="60"/>
  <c r="F494" i="60"/>
  <c r="F501" i="60" s="1"/>
  <c r="I476" i="60"/>
  <c r="F567" i="60"/>
  <c r="G574" i="60" s="1"/>
  <c r="I549" i="60"/>
  <c r="F571" i="60"/>
  <c r="G578" i="60" s="1"/>
  <c r="I553" i="60"/>
  <c r="H256" i="60"/>
  <c r="I548" i="60"/>
  <c r="F566" i="60"/>
  <c r="G573" i="60" s="1"/>
  <c r="I495" i="60"/>
  <c r="F513" i="60"/>
  <c r="F517" i="60"/>
  <c r="F524" i="60" s="1"/>
  <c r="I499" i="60"/>
  <c r="F257" i="60"/>
  <c r="I458" i="60"/>
  <c r="H476" i="60" s="1"/>
  <c r="F476" i="60"/>
  <c r="G483" i="60" s="1"/>
  <c r="F603" i="60"/>
  <c r="I585" i="60"/>
  <c r="F607" i="60"/>
  <c r="I589" i="60"/>
  <c r="I512" i="60"/>
  <c r="F530" i="60"/>
  <c r="G537" i="60" s="1"/>
  <c r="I253" i="60"/>
  <c r="I494" i="60"/>
  <c r="F512" i="60"/>
  <c r="G519" i="60" s="1"/>
  <c r="F585" i="60"/>
  <c r="G592" i="60" s="1"/>
  <c r="I567" i="60"/>
  <c r="I571" i="60"/>
  <c r="F589" i="60"/>
  <c r="G596" i="60" s="1"/>
  <c r="G445" i="60"/>
  <c r="F463" i="60"/>
  <c r="I251" i="60"/>
  <c r="F602" i="60"/>
  <c r="I584" i="60"/>
  <c r="F495" i="60"/>
  <c r="I477" i="60"/>
  <c r="I535" i="60"/>
  <c r="F553" i="60"/>
  <c r="G560" i="60" s="1"/>
  <c r="D11" i="11"/>
  <c r="G22" i="17"/>
  <c r="M27" i="11"/>
  <c r="F17" i="9"/>
  <c r="G41" i="11"/>
  <c r="J41" i="11"/>
  <c r="F37" i="17"/>
  <c r="F18" i="9"/>
  <c r="L37" i="11"/>
  <c r="D390" i="60" s="1"/>
  <c r="G15" i="9" l="1"/>
  <c r="M10" i="11" s="1"/>
  <c r="M11" i="11" s="1"/>
  <c r="G14" i="9"/>
  <c r="N14" i="9" s="1"/>
  <c r="F484" i="60"/>
  <c r="F542" i="60"/>
  <c r="E384" i="60"/>
  <c r="K380" i="60" s="1"/>
  <c r="L380" i="60" s="1"/>
  <c r="M380" i="60" s="1"/>
  <c r="F506" i="60"/>
  <c r="M37" i="11"/>
  <c r="F574" i="60"/>
  <c r="G501" i="60"/>
  <c r="F592" i="60"/>
  <c r="H607" i="60"/>
  <c r="H566" i="60"/>
  <c r="H573" i="60" s="1"/>
  <c r="F578" i="60"/>
  <c r="G555" i="60"/>
  <c r="I440" i="60"/>
  <c r="F447" i="60"/>
  <c r="G447" i="60"/>
  <c r="H602" i="60"/>
  <c r="H530" i="60"/>
  <c r="I537" i="60" s="1"/>
  <c r="H517" i="60"/>
  <c r="H524" i="60" s="1"/>
  <c r="H513" i="60"/>
  <c r="H567" i="60"/>
  <c r="H574" i="60" s="1"/>
  <c r="H549" i="60"/>
  <c r="H556" i="60" s="1"/>
  <c r="H257" i="60"/>
  <c r="H603" i="60"/>
  <c r="F560" i="60"/>
  <c r="H535" i="60"/>
  <c r="H542" i="60" s="1"/>
  <c r="G502" i="60"/>
  <c r="H499" i="60"/>
  <c r="I506" i="60" s="1"/>
  <c r="H488" i="60"/>
  <c r="I488" i="60"/>
  <c r="H495" i="60"/>
  <c r="I484" i="60"/>
  <c r="H484" i="60"/>
  <c r="F596" i="60"/>
  <c r="F556" i="60"/>
  <c r="F488" i="60"/>
  <c r="F538" i="60"/>
  <c r="F573" i="60"/>
  <c r="H585" i="60"/>
  <c r="H592" i="60" s="1"/>
  <c r="H512" i="60"/>
  <c r="G524" i="60"/>
  <c r="F537" i="60"/>
  <c r="G520" i="60"/>
  <c r="G452" i="60"/>
  <c r="I445" i="60"/>
  <c r="F452" i="60"/>
  <c r="H571" i="60"/>
  <c r="H578" i="60" s="1"/>
  <c r="F483" i="60"/>
  <c r="H531" i="60"/>
  <c r="I538" i="60" s="1"/>
  <c r="H584" i="60"/>
  <c r="H591" i="60" s="1"/>
  <c r="H553" i="60"/>
  <c r="H560" i="60" s="1"/>
  <c r="G591" i="60"/>
  <c r="H589" i="60"/>
  <c r="F519" i="60"/>
  <c r="F502" i="60"/>
  <c r="H494" i="60"/>
  <c r="H501" i="60" s="1"/>
  <c r="H483" i="60"/>
  <c r="I483" i="60"/>
  <c r="F448" i="60"/>
  <c r="G448" i="60"/>
  <c r="I441" i="60"/>
  <c r="G538" i="60"/>
  <c r="H548" i="60"/>
  <c r="H555" i="60" s="1"/>
  <c r="F520" i="60"/>
  <c r="F51" i="60" a="1"/>
  <c r="N15" i="9"/>
  <c r="M29" i="9"/>
  <c r="M28" i="9"/>
  <c r="C665" i="60" s="1"/>
  <c r="D37" i="17"/>
  <c r="C37" i="17"/>
  <c r="B37" i="17"/>
  <c r="N2" i="17" s="1"/>
  <c r="N3" i="17" l="1"/>
  <c r="O3" i="17" s="1"/>
  <c r="O2" i="17"/>
  <c r="G384" i="60"/>
  <c r="F384" i="60"/>
  <c r="E390" i="60"/>
  <c r="K382" i="60" s="1"/>
  <c r="L382" i="60" s="1"/>
  <c r="M382" i="60" s="1"/>
  <c r="H51" i="60" a="1"/>
  <c r="C366" i="60" s="1"/>
  <c r="F665" i="60"/>
  <c r="I578" i="60"/>
  <c r="M427" i="60" a="1"/>
  <c r="I573" i="60"/>
  <c r="I556" i="60"/>
  <c r="I542" i="60"/>
  <c r="I555" i="60"/>
  <c r="I592" i="60"/>
  <c r="I524" i="60"/>
  <c r="I591" i="60"/>
  <c r="E256" i="60"/>
  <c r="H458" i="60"/>
  <c r="I447" i="60"/>
  <c r="H447" i="60"/>
  <c r="H459" i="60"/>
  <c r="I448" i="60"/>
  <c r="H448" i="60"/>
  <c r="I560" i="60"/>
  <c r="H463" i="60"/>
  <c r="I452" i="60"/>
  <c r="H452" i="60"/>
  <c r="H506" i="60"/>
  <c r="H520" i="60"/>
  <c r="H538" i="60"/>
  <c r="I520" i="60"/>
  <c r="I574" i="60"/>
  <c r="I502" i="60"/>
  <c r="I596" i="60"/>
  <c r="H537" i="60"/>
  <c r="H502" i="60"/>
  <c r="H519" i="60"/>
  <c r="H596" i="60"/>
  <c r="I501" i="60"/>
  <c r="I519" i="60"/>
  <c r="F51" i="60"/>
  <c r="C327" i="60" s="1"/>
  <c r="C337" i="60"/>
  <c r="C336" i="60"/>
  <c r="C328" i="60"/>
  <c r="C335" i="60"/>
  <c r="E406" i="60"/>
  <c r="C334" i="60"/>
  <c r="C332" i="60"/>
  <c r="C329" i="60"/>
  <c r="C333" i="60"/>
  <c r="C330" i="60"/>
  <c r="C331" i="60"/>
  <c r="C338" i="60"/>
  <c r="M36" i="9"/>
  <c r="M37" i="9"/>
  <c r="D22" i="17"/>
  <c r="L22" i="11"/>
  <c r="D381" i="60" s="1"/>
  <c r="K22" i="11"/>
  <c r="J28" i="9"/>
  <c r="C662" i="60" l="1"/>
  <c r="G390" i="60"/>
  <c r="F390" i="60"/>
  <c r="C364" i="60"/>
  <c r="C362" i="60"/>
  <c r="C370" i="60"/>
  <c r="H51" i="60"/>
  <c r="C361" i="60" s="1"/>
  <c r="C363" i="60"/>
  <c r="C368" i="60"/>
  <c r="C372" i="60"/>
  <c r="C369" i="60"/>
  <c r="C365" i="60"/>
  <c r="D366" i="60" s="1"/>
  <c r="C371" i="60"/>
  <c r="C367" i="60"/>
  <c r="D367" i="60" s="1"/>
  <c r="E412" i="60"/>
  <c r="F412" i="60" s="1"/>
  <c r="M427" i="60"/>
  <c r="G607" i="60" s="1"/>
  <c r="F625" i="60" s="1"/>
  <c r="D331" i="60"/>
  <c r="D256" i="60"/>
  <c r="E257" i="60"/>
  <c r="D332" i="60"/>
  <c r="D338" i="60"/>
  <c r="D330" i="60"/>
  <c r="D336" i="60"/>
  <c r="D333" i="60"/>
  <c r="D337" i="60"/>
  <c r="D335" i="60"/>
  <c r="D334" i="60"/>
  <c r="F406" i="60"/>
  <c r="G406" i="60"/>
  <c r="D329" i="60"/>
  <c r="D328" i="60"/>
  <c r="M22" i="11"/>
  <c r="L18" i="11"/>
  <c r="D379" i="60" s="1"/>
  <c r="L14" i="11"/>
  <c r="D377" i="60" s="1"/>
  <c r="J36" i="9"/>
  <c r="K32" i="11"/>
  <c r="C22" i="17"/>
  <c r="I28" i="9"/>
  <c r="K18" i="11"/>
  <c r="J29" i="9"/>
  <c r="F662" i="60" s="1"/>
  <c r="C661" i="60" l="1"/>
  <c r="D362" i="60"/>
  <c r="D370" i="60"/>
  <c r="D364" i="60"/>
  <c r="E415" i="60"/>
  <c r="G415" i="60" s="1"/>
  <c r="D365" i="60"/>
  <c r="G412" i="60"/>
  <c r="D369" i="60"/>
  <c r="D368" i="60"/>
  <c r="G614" i="60"/>
  <c r="D371" i="60"/>
  <c r="D372" i="60"/>
  <c r="D363" i="60"/>
  <c r="F614" i="60"/>
  <c r="C660" i="60"/>
  <c r="E381" i="60"/>
  <c r="K379" i="60" s="1"/>
  <c r="L379" i="60" s="1"/>
  <c r="M379" i="60" s="1"/>
  <c r="D257" i="60"/>
  <c r="G256" i="60"/>
  <c r="I256" i="60" s="1"/>
  <c r="E51" i="60" a="1"/>
  <c r="I29" i="9"/>
  <c r="L32" i="11"/>
  <c r="M14" i="11"/>
  <c r="K41" i="11"/>
  <c r="H21" i="17"/>
  <c r="L45" i="11" s="1"/>
  <c r="J37" i="9"/>
  <c r="H36" i="9"/>
  <c r="I36" i="9"/>
  <c r="M18" i="11"/>
  <c r="F22" i="17"/>
  <c r="L28" i="9"/>
  <c r="H29" i="9"/>
  <c r="F415" i="60" l="1"/>
  <c r="C664" i="60"/>
  <c r="M422" i="60" a="1"/>
  <c r="M422" i="60" s="1"/>
  <c r="F660" i="60"/>
  <c r="I37" i="9"/>
  <c r="F661" i="60"/>
  <c r="E379" i="60"/>
  <c r="K378" i="60" s="1"/>
  <c r="L378" i="60" s="1"/>
  <c r="M378" i="60" s="1"/>
  <c r="F381" i="60"/>
  <c r="E377" i="60"/>
  <c r="K377" i="60" s="1"/>
  <c r="G381" i="60"/>
  <c r="C51" i="60" a="1"/>
  <c r="C286" i="60" s="1"/>
  <c r="G257" i="60"/>
  <c r="I257" i="60" s="1"/>
  <c r="M423" i="60" a="1"/>
  <c r="E51" i="60"/>
  <c r="C310" i="60" s="1"/>
  <c r="C317" i="60"/>
  <c r="C315" i="60"/>
  <c r="C320" i="60"/>
  <c r="C314" i="60"/>
  <c r="C312" i="60"/>
  <c r="C321" i="60"/>
  <c r="C313" i="60"/>
  <c r="C318" i="60"/>
  <c r="E403" i="60"/>
  <c r="C319" i="60"/>
  <c r="C311" i="60"/>
  <c r="C316" i="60"/>
  <c r="L41" i="11"/>
  <c r="D387" i="60"/>
  <c r="D392" i="60" s="1"/>
  <c r="D51" i="60" a="1"/>
  <c r="H22" i="17"/>
  <c r="M45" i="11" s="1"/>
  <c r="H37" i="9"/>
  <c r="L36" i="9"/>
  <c r="M32" i="11"/>
  <c r="L29" i="9"/>
  <c r="F664" i="60" s="1"/>
  <c r="K28" i="9"/>
  <c r="G28" i="9" s="1"/>
  <c r="L377" i="60" l="1"/>
  <c r="C663" i="60"/>
  <c r="G379" i="60"/>
  <c r="F379" i="60"/>
  <c r="F377" i="60"/>
  <c r="G377" i="60"/>
  <c r="E387" i="60"/>
  <c r="K381" i="60" s="1"/>
  <c r="L381" i="60" s="1"/>
  <c r="M381" i="60" s="1"/>
  <c r="E399" i="60"/>
  <c r="G399" i="60" s="1"/>
  <c r="C279" i="60"/>
  <c r="C51" i="60"/>
  <c r="C276" i="60" s="1"/>
  <c r="D319" i="60"/>
  <c r="D313" i="60"/>
  <c r="M423" i="60"/>
  <c r="D315" i="60"/>
  <c r="C282" i="60"/>
  <c r="C277" i="60"/>
  <c r="C280" i="60"/>
  <c r="C284" i="60"/>
  <c r="C281" i="60"/>
  <c r="C278" i="60"/>
  <c r="C283" i="60"/>
  <c r="D317" i="60"/>
  <c r="C285" i="60"/>
  <c r="D286" i="60" s="1"/>
  <c r="C287" i="60"/>
  <c r="D287" i="60" s="1"/>
  <c r="D311" i="60"/>
  <c r="D320" i="60"/>
  <c r="D318" i="60"/>
  <c r="D51" i="60"/>
  <c r="C293" i="60" s="1"/>
  <c r="C303" i="60"/>
  <c r="C302" i="60"/>
  <c r="C294" i="60"/>
  <c r="C296" i="60"/>
  <c r="E401" i="60"/>
  <c r="C301" i="60"/>
  <c r="C299" i="60"/>
  <c r="C304" i="60"/>
  <c r="C295" i="60"/>
  <c r="C300" i="60"/>
  <c r="C297" i="60"/>
  <c r="C298" i="60"/>
  <c r="G51" i="60" a="1"/>
  <c r="D440" i="60" s="1" a="1"/>
  <c r="F403" i="60"/>
  <c r="G403" i="60"/>
  <c r="D321" i="60"/>
  <c r="D312" i="60"/>
  <c r="D316" i="60"/>
  <c r="D314" i="60"/>
  <c r="M41" i="11"/>
  <c r="K36" i="9"/>
  <c r="N36" i="9" s="1"/>
  <c r="L37" i="9"/>
  <c r="K29" i="9"/>
  <c r="D280" i="60" l="1"/>
  <c r="K383" i="60"/>
  <c r="M377" i="60"/>
  <c r="L383" i="60"/>
  <c r="M383" i="60" s="1"/>
  <c r="F663" i="60"/>
  <c r="F387" i="60"/>
  <c r="E392" i="60"/>
  <c r="F392" i="60" s="1"/>
  <c r="F399" i="60"/>
  <c r="G387" i="60"/>
  <c r="D283" i="60"/>
  <c r="D279" i="60"/>
  <c r="D298" i="60"/>
  <c r="D277" i="60"/>
  <c r="D494" i="60" a="1"/>
  <c r="C516" i="60" s="1"/>
  <c r="D476" i="60" a="1"/>
  <c r="C498" i="60" s="1"/>
  <c r="D285" i="60"/>
  <c r="D584" i="60" a="1"/>
  <c r="C607" i="60" s="1"/>
  <c r="D602" i="60" a="1"/>
  <c r="C624" i="60" s="1"/>
  <c r="D530" i="60" a="1"/>
  <c r="D530" i="60" s="1"/>
  <c r="D282" i="60"/>
  <c r="D512" i="60" a="1"/>
  <c r="K517" i="60" s="1"/>
  <c r="D566" i="60" a="1"/>
  <c r="K567" i="60" s="1"/>
  <c r="D281" i="60"/>
  <c r="D620" i="60" a="1"/>
  <c r="C463" i="60"/>
  <c r="C460" i="60"/>
  <c r="C459" i="60"/>
  <c r="C462" i="60"/>
  <c r="C461" i="60"/>
  <c r="D548" i="60" a="1"/>
  <c r="D278" i="60"/>
  <c r="D284" i="60"/>
  <c r="D458" i="60" a="1"/>
  <c r="D301" i="60"/>
  <c r="D440" i="60"/>
  <c r="C458" i="60" s="1"/>
  <c r="C448" i="60"/>
  <c r="C452" i="60"/>
  <c r="C681" i="60" s="1"/>
  <c r="D448" i="60"/>
  <c r="D452" i="60"/>
  <c r="C449" i="60"/>
  <c r="D449" i="60"/>
  <c r="D451" i="60"/>
  <c r="C450" i="60"/>
  <c r="C451" i="60"/>
  <c r="C680" i="60" s="1"/>
  <c r="D450" i="60"/>
  <c r="K441" i="60"/>
  <c r="K445" i="60"/>
  <c r="M445" i="60"/>
  <c r="M441" i="60"/>
  <c r="D296" i="60"/>
  <c r="D294" i="60"/>
  <c r="D303" i="60"/>
  <c r="D299" i="60"/>
  <c r="G51" i="60"/>
  <c r="E409" i="60"/>
  <c r="C349" i="60"/>
  <c r="C348" i="60"/>
  <c r="C355" i="60"/>
  <c r="C347" i="60"/>
  <c r="C350" i="60"/>
  <c r="C354" i="60"/>
  <c r="C346" i="60"/>
  <c r="C353" i="60"/>
  <c r="C345" i="60"/>
  <c r="C352" i="60"/>
  <c r="C351" i="60"/>
  <c r="I62" i="60"/>
  <c r="S19" i="60" s="1"/>
  <c r="I54" i="60"/>
  <c r="S11" i="60" s="1"/>
  <c r="I52" i="60"/>
  <c r="S9" i="60" s="1"/>
  <c r="I56" i="60"/>
  <c r="S13" i="60" s="1"/>
  <c r="I57" i="60"/>
  <c r="S14" i="60" s="1"/>
  <c r="I58" i="60"/>
  <c r="S15" i="60" s="1"/>
  <c r="I53" i="60"/>
  <c r="S10" i="60" s="1"/>
  <c r="I61" i="60"/>
  <c r="S18" i="60" s="1"/>
  <c r="I60" i="60"/>
  <c r="S17" i="60" s="1"/>
  <c r="I55" i="60"/>
  <c r="S12" i="60" s="1"/>
  <c r="I59" i="60"/>
  <c r="S16" i="60" s="1"/>
  <c r="F401" i="60"/>
  <c r="G401" i="60"/>
  <c r="D297" i="60"/>
  <c r="D300" i="60"/>
  <c r="D302" i="60"/>
  <c r="D295" i="60"/>
  <c r="D304" i="60"/>
  <c r="K37" i="9"/>
  <c r="N37" i="9" s="1"/>
  <c r="G29" i="9"/>
  <c r="D505" i="60" l="1"/>
  <c r="T12" i="60"/>
  <c r="U12" i="60" s="1"/>
  <c r="C685" i="60"/>
  <c r="D670" i="60"/>
  <c r="D674" i="60"/>
  <c r="E674" i="60" s="1"/>
  <c r="F674" i="60" s="1"/>
  <c r="D672" i="60"/>
  <c r="D671" i="60"/>
  <c r="D673" i="60"/>
  <c r="G392" i="60"/>
  <c r="K513" i="60"/>
  <c r="C517" i="60"/>
  <c r="D524" i="60" s="1"/>
  <c r="C513" i="60"/>
  <c r="C520" i="60" s="1"/>
  <c r="K499" i="60"/>
  <c r="C534" i="60"/>
  <c r="C541" i="60" s="1"/>
  <c r="T19" i="60"/>
  <c r="U19" i="60" s="1"/>
  <c r="C604" i="60"/>
  <c r="C611" i="60" s="1"/>
  <c r="M477" i="60"/>
  <c r="D494" i="60"/>
  <c r="M494" i="60" s="1"/>
  <c r="C499" i="60"/>
  <c r="D506" i="60" s="1"/>
  <c r="M495" i="60"/>
  <c r="C496" i="60"/>
  <c r="C503" i="60" s="1"/>
  <c r="K495" i="60"/>
  <c r="D476" i="60"/>
  <c r="C494" i="60" s="1"/>
  <c r="D584" i="60"/>
  <c r="C602" i="60" s="1"/>
  <c r="M481" i="60"/>
  <c r="C588" i="60"/>
  <c r="C595" i="60" s="1"/>
  <c r="C585" i="60"/>
  <c r="C592" i="60" s="1"/>
  <c r="M585" i="60"/>
  <c r="C515" i="60"/>
  <c r="C522" i="60" s="1"/>
  <c r="K481" i="60"/>
  <c r="C587" i="60"/>
  <c r="D594" i="60" s="1"/>
  <c r="M513" i="60"/>
  <c r="M589" i="60"/>
  <c r="D602" i="60"/>
  <c r="C514" i="60"/>
  <c r="D521" i="60" s="1"/>
  <c r="C497" i="60"/>
  <c r="D504" i="60" s="1"/>
  <c r="C606" i="60"/>
  <c r="C613" i="60" s="1"/>
  <c r="C605" i="60"/>
  <c r="D612" i="60" s="1"/>
  <c r="C533" i="60"/>
  <c r="C540" i="60" s="1"/>
  <c r="K477" i="60"/>
  <c r="K585" i="60"/>
  <c r="M499" i="60"/>
  <c r="C495" i="60"/>
  <c r="L495" i="60" s="1"/>
  <c r="K531" i="60"/>
  <c r="C625" i="60"/>
  <c r="J625" i="60" s="1"/>
  <c r="C551" i="60"/>
  <c r="D558" i="60" s="1"/>
  <c r="C623" i="60"/>
  <c r="D630" i="60" s="1"/>
  <c r="D679" i="60" s="1"/>
  <c r="C553" i="60"/>
  <c r="C560" i="60" s="1"/>
  <c r="K589" i="60"/>
  <c r="D614" i="60"/>
  <c r="C603" i="60"/>
  <c r="C610" i="60" s="1"/>
  <c r="K607" i="60"/>
  <c r="C622" i="60"/>
  <c r="D629" i="60" s="1"/>
  <c r="C621" i="60"/>
  <c r="C628" i="60" s="1"/>
  <c r="C549" i="60"/>
  <c r="D556" i="60" s="1"/>
  <c r="C589" i="60"/>
  <c r="D596" i="60" s="1"/>
  <c r="C531" i="60"/>
  <c r="D538" i="60" s="1"/>
  <c r="M571" i="60"/>
  <c r="C532" i="60"/>
  <c r="C539" i="60" s="1"/>
  <c r="C586" i="60"/>
  <c r="M567" i="60"/>
  <c r="D566" i="60"/>
  <c r="C584" i="60" s="1"/>
  <c r="C535" i="60"/>
  <c r="D542" i="60" s="1"/>
  <c r="M535" i="60"/>
  <c r="C550" i="60"/>
  <c r="C557" i="60" s="1"/>
  <c r="K571" i="60"/>
  <c r="D512" i="60"/>
  <c r="M512" i="60" s="1"/>
  <c r="M531" i="60"/>
  <c r="C552" i="60"/>
  <c r="D559" i="60" s="1"/>
  <c r="T15" i="60"/>
  <c r="U15" i="60" s="1"/>
  <c r="M517" i="60"/>
  <c r="K535" i="60"/>
  <c r="D620" i="60"/>
  <c r="D669" i="60" s="1"/>
  <c r="D631" i="60"/>
  <c r="D680" i="60" s="1"/>
  <c r="E680" i="60" s="1"/>
  <c r="F680" i="60" s="1"/>
  <c r="C631" i="60"/>
  <c r="T14" i="60"/>
  <c r="U14" i="60" s="1"/>
  <c r="J463" i="60"/>
  <c r="L463" i="60"/>
  <c r="D548" i="60"/>
  <c r="C571" i="60"/>
  <c r="C569" i="60"/>
  <c r="C567" i="60"/>
  <c r="C570" i="60"/>
  <c r="C568" i="60"/>
  <c r="K549" i="60"/>
  <c r="K553" i="60"/>
  <c r="M553" i="60"/>
  <c r="M549" i="60"/>
  <c r="C523" i="60"/>
  <c r="J607" i="60"/>
  <c r="L607" i="60"/>
  <c r="C614" i="60"/>
  <c r="C505" i="60"/>
  <c r="J458" i="60"/>
  <c r="L458" i="60"/>
  <c r="D458" i="60"/>
  <c r="C478" i="60"/>
  <c r="C477" i="60"/>
  <c r="C481" i="60"/>
  <c r="C479" i="60"/>
  <c r="C480" i="60"/>
  <c r="D469" i="60"/>
  <c r="D467" i="60"/>
  <c r="C470" i="60"/>
  <c r="D468" i="60"/>
  <c r="C467" i="60"/>
  <c r="C466" i="60"/>
  <c r="D470" i="60"/>
  <c r="C468" i="60"/>
  <c r="D466" i="60"/>
  <c r="C469" i="60"/>
  <c r="D523" i="60"/>
  <c r="J459" i="60"/>
  <c r="L459" i="60"/>
  <c r="C548" i="60"/>
  <c r="K530" i="60"/>
  <c r="M530" i="60"/>
  <c r="L452" i="60"/>
  <c r="M452" i="60"/>
  <c r="K463" i="60"/>
  <c r="G470" i="60"/>
  <c r="F470" i="60"/>
  <c r="T11" i="60"/>
  <c r="U11" i="60" s="1"/>
  <c r="J452" i="60"/>
  <c r="K452" i="60"/>
  <c r="M448" i="60"/>
  <c r="L448" i="60"/>
  <c r="K448" i="60"/>
  <c r="J448" i="60"/>
  <c r="D447" i="60"/>
  <c r="C447" i="60"/>
  <c r="K440" i="60"/>
  <c r="M440" i="60"/>
  <c r="G466" i="60"/>
  <c r="F466" i="60"/>
  <c r="K459" i="60"/>
  <c r="D347" i="60"/>
  <c r="T17" i="60"/>
  <c r="U17" i="60" s="1"/>
  <c r="T18" i="60"/>
  <c r="U18" i="60" s="1"/>
  <c r="T16" i="60"/>
  <c r="U16" i="60" s="1"/>
  <c r="D354" i="60"/>
  <c r="D350" i="60"/>
  <c r="D348" i="60"/>
  <c r="D351" i="60"/>
  <c r="T10" i="60"/>
  <c r="U10" i="60" s="1"/>
  <c r="D349" i="60"/>
  <c r="D352" i="60"/>
  <c r="D353" i="60"/>
  <c r="G409" i="60"/>
  <c r="F409" i="60"/>
  <c r="E414" i="60"/>
  <c r="D355" i="60"/>
  <c r="T13" i="60"/>
  <c r="U13" i="60" s="1"/>
  <c r="D346" i="60"/>
  <c r="C344" i="60"/>
  <c r="D345" i="60" s="1"/>
  <c r="I51" i="60"/>
  <c r="S8" i="60" s="1"/>
  <c r="T9" i="60" s="1"/>
  <c r="U9" i="60" s="1"/>
  <c r="I29" i="11"/>
  <c r="E669" i="60" l="1"/>
  <c r="F669" i="60" s="1"/>
  <c r="D675" i="60"/>
  <c r="E679" i="60"/>
  <c r="F679" i="60" s="1"/>
  <c r="E673" i="60"/>
  <c r="F673" i="60" s="1"/>
  <c r="E671" i="60"/>
  <c r="F671" i="60" s="1"/>
  <c r="E672" i="60"/>
  <c r="F672" i="60" s="1"/>
  <c r="E670" i="60"/>
  <c r="F670" i="60" s="1"/>
  <c r="L517" i="60"/>
  <c r="M524" i="60" s="1"/>
  <c r="J517" i="60"/>
  <c r="K524" i="60" s="1"/>
  <c r="D520" i="60"/>
  <c r="L513" i="60"/>
  <c r="M520" i="60" s="1"/>
  <c r="J513" i="60"/>
  <c r="K520" i="60" s="1"/>
  <c r="C524" i="60"/>
  <c r="D541" i="60"/>
  <c r="M584" i="60"/>
  <c r="K584" i="60"/>
  <c r="J603" i="60"/>
  <c r="D611" i="60"/>
  <c r="K494" i="60"/>
  <c r="D591" i="60"/>
  <c r="C556" i="60"/>
  <c r="C612" i="60"/>
  <c r="C512" i="60"/>
  <c r="C519" i="60" s="1"/>
  <c r="C620" i="60"/>
  <c r="D627" i="60" s="1"/>
  <c r="C558" i="60"/>
  <c r="L553" i="60"/>
  <c r="M560" i="60" s="1"/>
  <c r="D540" i="60"/>
  <c r="D613" i="60"/>
  <c r="M566" i="60"/>
  <c r="C594" i="60"/>
  <c r="K566" i="60"/>
  <c r="L499" i="60"/>
  <c r="M506" i="60" s="1"/>
  <c r="L549" i="60"/>
  <c r="L556" i="60" s="1"/>
  <c r="J499" i="60"/>
  <c r="J506" i="60" s="1"/>
  <c r="J549" i="60"/>
  <c r="K556" i="60" s="1"/>
  <c r="K512" i="60"/>
  <c r="J553" i="60"/>
  <c r="K560" i="60" s="1"/>
  <c r="C538" i="60"/>
  <c r="L531" i="60"/>
  <c r="M538" i="60" s="1"/>
  <c r="K614" i="60"/>
  <c r="D560" i="60"/>
  <c r="J531" i="60"/>
  <c r="J538" i="60" s="1"/>
  <c r="D628" i="60"/>
  <c r="K476" i="60"/>
  <c r="L589" i="60"/>
  <c r="M596" i="60" s="1"/>
  <c r="D595" i="60"/>
  <c r="C506" i="60"/>
  <c r="M476" i="60"/>
  <c r="J495" i="60"/>
  <c r="J502" i="60" s="1"/>
  <c r="J535" i="60"/>
  <c r="K542" i="60" s="1"/>
  <c r="C559" i="60"/>
  <c r="D503" i="60"/>
  <c r="M502" i="60"/>
  <c r="L502" i="60"/>
  <c r="C629" i="60"/>
  <c r="D592" i="60"/>
  <c r="C504" i="60"/>
  <c r="J585" i="60"/>
  <c r="K592" i="60" s="1"/>
  <c r="D502" i="60"/>
  <c r="C521" i="60"/>
  <c r="C530" i="60"/>
  <c r="C537" i="60" s="1"/>
  <c r="L585" i="60"/>
  <c r="L592" i="60" s="1"/>
  <c r="C502" i="60"/>
  <c r="D539" i="60"/>
  <c r="D557" i="60"/>
  <c r="C630" i="60"/>
  <c r="J589" i="60"/>
  <c r="J596" i="60" s="1"/>
  <c r="D522" i="60"/>
  <c r="L603" i="60"/>
  <c r="C632" i="60"/>
  <c r="J614" i="60"/>
  <c r="D632" i="60"/>
  <c r="D681" i="60" s="1"/>
  <c r="D685" i="60" s="1"/>
  <c r="E685" i="60" s="1"/>
  <c r="F685" i="60" s="1"/>
  <c r="D610" i="60"/>
  <c r="C593" i="60"/>
  <c r="D593" i="60"/>
  <c r="C542" i="60"/>
  <c r="L535" i="60"/>
  <c r="M542" i="60" s="1"/>
  <c r="C596" i="60"/>
  <c r="J567" i="60"/>
  <c r="L567" i="60"/>
  <c r="D574" i="60"/>
  <c r="C574" i="60"/>
  <c r="J494" i="60"/>
  <c r="L494" i="60"/>
  <c r="M501" i="60" s="1"/>
  <c r="L548" i="60"/>
  <c r="J548" i="60"/>
  <c r="C487" i="60"/>
  <c r="D487" i="60"/>
  <c r="C591" i="60"/>
  <c r="D576" i="60"/>
  <c r="C576" i="60"/>
  <c r="D486" i="60"/>
  <c r="C486" i="60"/>
  <c r="J571" i="60"/>
  <c r="L571" i="60"/>
  <c r="D578" i="60"/>
  <c r="C578" i="60"/>
  <c r="D501" i="60"/>
  <c r="C476" i="60"/>
  <c r="D465" i="60"/>
  <c r="C465" i="60"/>
  <c r="L481" i="60"/>
  <c r="J481" i="60"/>
  <c r="C488" i="60"/>
  <c r="D488" i="60"/>
  <c r="L602" i="60"/>
  <c r="J602" i="60"/>
  <c r="C566" i="60"/>
  <c r="C555" i="60"/>
  <c r="D555" i="60"/>
  <c r="K548" i="60"/>
  <c r="M548" i="60"/>
  <c r="C501" i="60"/>
  <c r="L584" i="60"/>
  <c r="J584" i="60"/>
  <c r="J477" i="60"/>
  <c r="L477" i="60"/>
  <c r="C484" i="60"/>
  <c r="D484" i="60"/>
  <c r="C609" i="60"/>
  <c r="C575" i="60"/>
  <c r="D575" i="60"/>
  <c r="D485" i="60"/>
  <c r="C485" i="60"/>
  <c r="D609" i="60"/>
  <c r="C577" i="60"/>
  <c r="D577" i="60"/>
  <c r="K466" i="60"/>
  <c r="J466" i="60"/>
  <c r="M459" i="60"/>
  <c r="H466" i="60"/>
  <c r="I466" i="60"/>
  <c r="G465" i="60"/>
  <c r="F465" i="60"/>
  <c r="K458" i="60"/>
  <c r="M447" i="60"/>
  <c r="L447" i="60"/>
  <c r="I470" i="60"/>
  <c r="M463" i="60"/>
  <c r="H470" i="60"/>
  <c r="K470" i="60"/>
  <c r="J470" i="60"/>
  <c r="J447" i="60"/>
  <c r="K447" i="60"/>
  <c r="G414" i="60"/>
  <c r="F414" i="60"/>
  <c r="I34" i="11"/>
  <c r="I24" i="11"/>
  <c r="L520" i="60" l="1"/>
  <c r="J520" i="60"/>
  <c r="J524" i="60"/>
  <c r="E675" i="60"/>
  <c r="F675" i="60" s="1"/>
  <c r="L524" i="60"/>
  <c r="E681" i="60"/>
  <c r="F681" i="60" s="1"/>
  <c r="C627" i="60"/>
  <c r="J560" i="60"/>
  <c r="L512" i="60"/>
  <c r="M519" i="60" s="1"/>
  <c r="M591" i="60"/>
  <c r="K591" i="60"/>
  <c r="J556" i="60"/>
  <c r="L506" i="60"/>
  <c r="J512" i="60"/>
  <c r="J519" i="60" s="1"/>
  <c r="K506" i="60"/>
  <c r="K501" i="60"/>
  <c r="M556" i="60"/>
  <c r="L560" i="60"/>
  <c r="D519" i="60"/>
  <c r="K502" i="60"/>
  <c r="L538" i="60"/>
  <c r="K596" i="60"/>
  <c r="J592" i="60"/>
  <c r="D537" i="60"/>
  <c r="L530" i="60"/>
  <c r="J530" i="60"/>
  <c r="M592" i="60"/>
  <c r="J542" i="60"/>
  <c r="K538" i="60"/>
  <c r="L596" i="60"/>
  <c r="L542" i="60"/>
  <c r="J578" i="60"/>
  <c r="K578" i="60"/>
  <c r="L488" i="60"/>
  <c r="M488" i="60"/>
  <c r="L501" i="60"/>
  <c r="L555" i="60"/>
  <c r="M555" i="60"/>
  <c r="K484" i="60"/>
  <c r="J484" i="60"/>
  <c r="K555" i="60"/>
  <c r="J555" i="60"/>
  <c r="J501" i="60"/>
  <c r="M574" i="60"/>
  <c r="L574" i="60"/>
  <c r="J488" i="60"/>
  <c r="K488" i="60"/>
  <c r="L476" i="60"/>
  <c r="J476" i="60"/>
  <c r="D483" i="60"/>
  <c r="C483" i="60"/>
  <c r="J591" i="60"/>
  <c r="K574" i="60"/>
  <c r="J574" i="60"/>
  <c r="L484" i="60"/>
  <c r="M484" i="60"/>
  <c r="L591" i="60"/>
  <c r="L566" i="60"/>
  <c r="J566" i="60"/>
  <c r="D573" i="60"/>
  <c r="C573" i="60"/>
  <c r="M578" i="60"/>
  <c r="L578" i="60"/>
  <c r="M470" i="60"/>
  <c r="L470" i="60"/>
  <c r="J465" i="60"/>
  <c r="K465" i="60"/>
  <c r="M466" i="60"/>
  <c r="L466" i="60"/>
  <c r="I465" i="60"/>
  <c r="H465" i="60"/>
  <c r="M458" i="60"/>
  <c r="I43" i="11"/>
  <c r="L519" i="60" l="1"/>
  <c r="K519" i="60"/>
  <c r="L537" i="60"/>
  <c r="M537" i="60"/>
  <c r="K537" i="60"/>
  <c r="J537" i="60"/>
  <c r="J483" i="60"/>
  <c r="K483" i="60"/>
  <c r="K573" i="60"/>
  <c r="J573" i="60"/>
  <c r="M573" i="60"/>
  <c r="L573" i="60"/>
  <c r="L483" i="60"/>
  <c r="M483" i="60"/>
  <c r="L465" i="60"/>
  <c r="M465" i="60"/>
  <c r="D85" i="60"/>
  <c r="D103" i="60"/>
  <c r="M108" i="60"/>
  <c r="N109" i="60"/>
  <c r="L100" i="60"/>
  <c r="D106" i="60"/>
  <c r="L108" i="60"/>
  <c r="E101" i="60"/>
  <c r="M103" i="60"/>
  <c r="I106" i="60"/>
  <c r="E109" i="60"/>
  <c r="F102" i="60"/>
  <c r="N104" i="60"/>
  <c r="J107" i="60"/>
  <c r="G100" i="60"/>
  <c r="C103" i="60"/>
  <c r="K105" i="60"/>
  <c r="G108" i="60"/>
  <c r="E106" i="60"/>
  <c r="F107" i="60"/>
  <c r="H103" i="60"/>
  <c r="L103" i="60"/>
  <c r="H106" i="60"/>
  <c r="D109" i="60"/>
  <c r="I101" i="60"/>
  <c r="E104" i="60"/>
  <c r="M106" i="60"/>
  <c r="I109" i="60"/>
  <c r="J102" i="60"/>
  <c r="F105" i="60"/>
  <c r="N107" i="60"/>
  <c r="K100" i="60"/>
  <c r="G103" i="60"/>
  <c r="C106" i="60"/>
  <c r="K108" i="60"/>
  <c r="H108" i="60"/>
  <c r="N101" i="60"/>
  <c r="K102" i="60"/>
  <c r="D101" i="60"/>
  <c r="H101" i="60"/>
  <c r="D104" i="60"/>
  <c r="L106" i="60"/>
  <c r="H109" i="60"/>
  <c r="M101" i="60"/>
  <c r="I104" i="60"/>
  <c r="E107" i="60"/>
  <c r="M109" i="60"/>
  <c r="F100" i="60"/>
  <c r="N102" i="60"/>
  <c r="J105" i="60"/>
  <c r="F108" i="60"/>
  <c r="C101" i="60"/>
  <c r="K103" i="60"/>
  <c r="G106" i="60"/>
  <c r="C109" i="60"/>
  <c r="I103" i="60"/>
  <c r="J104" i="60"/>
  <c r="G105" i="60"/>
  <c r="L101" i="60"/>
  <c r="H104" i="60"/>
  <c r="D107" i="60"/>
  <c r="L109" i="60"/>
  <c r="E102" i="60"/>
  <c r="M104" i="60"/>
  <c r="I107" i="60"/>
  <c r="J100" i="60"/>
  <c r="F103" i="60"/>
  <c r="N105" i="60"/>
  <c r="J108" i="60"/>
  <c r="G101" i="60"/>
  <c r="C104" i="60"/>
  <c r="K106" i="60"/>
  <c r="G109" i="60"/>
  <c r="L105" i="60"/>
  <c r="L104" i="60"/>
  <c r="H107" i="60"/>
  <c r="I102" i="60"/>
  <c r="E105" i="60"/>
  <c r="M107" i="60"/>
  <c r="N100" i="60"/>
  <c r="J103" i="60"/>
  <c r="F106" i="60"/>
  <c r="N108" i="60"/>
  <c r="C100" i="60"/>
  <c r="K101" i="60"/>
  <c r="G104" i="60"/>
  <c r="C107" i="60"/>
  <c r="K109" i="60"/>
  <c r="H100" i="60"/>
  <c r="M100" i="60"/>
  <c r="H102" i="60"/>
  <c r="D105" i="60"/>
  <c r="L107" i="60"/>
  <c r="E100" i="60"/>
  <c r="M102" i="60"/>
  <c r="I105" i="60"/>
  <c r="E108" i="60"/>
  <c r="F101" i="60"/>
  <c r="N103" i="60"/>
  <c r="J106" i="60"/>
  <c r="F109" i="60"/>
  <c r="C102" i="60"/>
  <c r="K104" i="60"/>
  <c r="G107" i="60"/>
  <c r="D102" i="60"/>
  <c r="D100" i="60"/>
  <c r="L102" i="60"/>
  <c r="H105" i="60"/>
  <c r="D108" i="60"/>
  <c r="I100" i="60"/>
  <c r="E103" i="60"/>
  <c r="M105" i="60"/>
  <c r="I108" i="60"/>
  <c r="J101" i="60"/>
  <c r="F104" i="60"/>
  <c r="N106" i="60"/>
  <c r="J109" i="60"/>
  <c r="G102" i="60"/>
  <c r="C105" i="60"/>
  <c r="K107" i="60"/>
  <c r="C108" i="60"/>
  <c r="D92" i="60"/>
  <c r="M87" i="60"/>
  <c r="J90" i="60"/>
  <c r="L87" i="60"/>
  <c r="D93" i="60"/>
  <c r="H85" i="60"/>
  <c r="D88" i="60"/>
  <c r="L90" i="60"/>
  <c r="H93" i="60"/>
  <c r="I86" i="60"/>
  <c r="E89" i="60"/>
  <c r="J86" i="60"/>
  <c r="F89" i="60"/>
  <c r="N91" i="60"/>
  <c r="J94" i="60"/>
  <c r="M92" i="60"/>
  <c r="K87" i="60"/>
  <c r="G90" i="60"/>
  <c r="C93" i="60"/>
  <c r="L85" i="60"/>
  <c r="H88" i="60"/>
  <c r="D91" i="60"/>
  <c r="L93" i="60"/>
  <c r="M86" i="60"/>
  <c r="I89" i="60"/>
  <c r="M91" i="60"/>
  <c r="N86" i="60"/>
  <c r="J89" i="60"/>
  <c r="F92" i="60"/>
  <c r="N94" i="60"/>
  <c r="E93" i="60"/>
  <c r="G85" i="60"/>
  <c r="C88" i="60"/>
  <c r="K90" i="60"/>
  <c r="G93" i="60"/>
  <c r="L94" i="60"/>
  <c r="I90" i="60"/>
  <c r="C85" i="60"/>
  <c r="D86" i="60"/>
  <c r="L88" i="60"/>
  <c r="H91" i="60"/>
  <c r="D94" i="60"/>
  <c r="E91" i="60"/>
  <c r="E87" i="60"/>
  <c r="M89" i="60"/>
  <c r="E94" i="60"/>
  <c r="F87" i="60"/>
  <c r="N89" i="60"/>
  <c r="J92" i="60"/>
  <c r="K85" i="60"/>
  <c r="G88" i="60"/>
  <c r="C91" i="60"/>
  <c r="K93" i="60"/>
  <c r="H86" i="60"/>
  <c r="D89" i="60"/>
  <c r="L91" i="60"/>
  <c r="H94" i="60"/>
  <c r="M90" i="60"/>
  <c r="I94" i="60"/>
  <c r="I87" i="60"/>
  <c r="E90" i="60"/>
  <c r="J87" i="60"/>
  <c r="F90" i="60"/>
  <c r="N92" i="60"/>
  <c r="C86" i="60"/>
  <c r="K88" i="60"/>
  <c r="G91" i="60"/>
  <c r="C94" i="60"/>
  <c r="I91" i="60"/>
  <c r="H89" i="60"/>
  <c r="E85" i="60"/>
  <c r="N87" i="60"/>
  <c r="G86" i="60"/>
  <c r="G94" i="60"/>
  <c r="M93" i="60"/>
  <c r="C89" i="60"/>
  <c r="D87" i="60"/>
  <c r="H92" i="60"/>
  <c r="I85" i="60"/>
  <c r="E88" i="60"/>
  <c r="J85" i="60"/>
  <c r="F88" i="60"/>
  <c r="N90" i="60"/>
  <c r="J93" i="60"/>
  <c r="K86" i="60"/>
  <c r="G89" i="60"/>
  <c r="C92" i="60"/>
  <c r="K94" i="60"/>
  <c r="E92" i="60"/>
  <c r="L86" i="60"/>
  <c r="I93" i="60"/>
  <c r="F85" i="60"/>
  <c r="F93" i="60"/>
  <c r="K91" i="60"/>
  <c r="L89" i="60"/>
  <c r="H87" i="60"/>
  <c r="D90" i="60"/>
  <c r="L92" i="60"/>
  <c r="M85" i="60"/>
  <c r="I88" i="60"/>
  <c r="N85" i="60"/>
  <c r="J88" i="60"/>
  <c r="F91" i="60"/>
  <c r="N93" i="60"/>
  <c r="I92" i="60"/>
  <c r="C87" i="60"/>
  <c r="K89" i="60"/>
  <c r="G92" i="60"/>
  <c r="M94" i="60"/>
  <c r="H90" i="60"/>
  <c r="E86" i="60"/>
  <c r="M88" i="60"/>
  <c r="F86" i="60"/>
  <c r="N88" i="60"/>
  <c r="J91" i="60"/>
  <c r="F94" i="60"/>
  <c r="G87" i="60"/>
  <c r="C90" i="60"/>
  <c r="K92" i="60"/>
  <c r="O105" i="60" l="1"/>
  <c r="O90" i="60"/>
  <c r="O108" i="60"/>
  <c r="O92" i="60"/>
  <c r="O103" i="60"/>
  <c r="O85" i="60"/>
  <c r="O107" i="60"/>
  <c r="O104" i="60"/>
  <c r="O109" i="60"/>
  <c r="O102" i="60"/>
  <c r="O89" i="60"/>
  <c r="O94" i="60"/>
  <c r="O91" i="60"/>
  <c r="P91" i="60" s="1"/>
  <c r="O93" i="60"/>
  <c r="P93" i="60" s="1"/>
  <c r="O100" i="60"/>
  <c r="O101" i="60"/>
  <c r="O87" i="60"/>
  <c r="O86" i="60"/>
  <c r="O88" i="60"/>
  <c r="O106" i="60"/>
  <c r="H110" i="60"/>
  <c r="L110" i="60"/>
  <c r="C110" i="60"/>
  <c r="F110" i="60"/>
  <c r="K110" i="60"/>
  <c r="N110" i="60"/>
  <c r="G110" i="60"/>
  <c r="I110" i="60"/>
  <c r="E110" i="60"/>
  <c r="D110" i="60"/>
  <c r="M110" i="60"/>
  <c r="J110" i="60"/>
  <c r="F95" i="60"/>
  <c r="M95" i="60"/>
  <c r="D95" i="60"/>
  <c r="G95" i="60"/>
  <c r="L95" i="60"/>
  <c r="I95" i="60"/>
  <c r="E95" i="60"/>
  <c r="K95" i="60"/>
  <c r="H95" i="60"/>
  <c r="C95" i="60"/>
  <c r="N95" i="60"/>
  <c r="J95" i="60"/>
  <c r="P94" i="60" l="1"/>
  <c r="P90" i="60"/>
  <c r="P92" i="60"/>
  <c r="P85" i="60"/>
  <c r="P89" i="60"/>
  <c r="P86" i="60"/>
  <c r="P88" i="60"/>
  <c r="P87" i="60"/>
  <c r="O95" i="60"/>
  <c r="O110" i="60"/>
  <c r="D11" i="9"/>
  <c r="E11" i="9" s="1"/>
  <c r="D6" i="9"/>
  <c r="E6" i="9" s="1"/>
  <c r="G6" i="11"/>
  <c r="B6" i="11"/>
  <c r="D9" i="9"/>
  <c r="E9" i="9" s="1"/>
  <c r="D6" i="11"/>
  <c r="I6" i="11"/>
  <c r="D8" i="9"/>
  <c r="E8" i="9" s="1"/>
  <c r="P95" i="60" l="1"/>
  <c r="C6" i="11"/>
  <c r="H6" i="11"/>
  <c r="D5" i="9"/>
  <c r="E5" i="9" s="1"/>
  <c r="F6" i="11"/>
  <c r="D10" i="9"/>
  <c r="E10" i="9" s="1"/>
  <c r="D7" i="9"/>
  <c r="E7" i="9" s="1"/>
  <c r="D12" i="9"/>
  <c r="E12" i="9" s="1"/>
  <c r="E6" i="11"/>
  <c r="G33" i="9" l="1"/>
  <c r="G32" i="9"/>
  <c r="L10" i="11"/>
  <c r="G37" i="9" l="1"/>
  <c r="L41" i="9" s="1"/>
  <c r="L33" i="9" s="1"/>
  <c r="C716" i="60" s="1"/>
  <c r="G36" i="9"/>
  <c r="L11" i="11"/>
  <c r="P8" i="60" a="1"/>
  <c r="H41" i="9"/>
  <c r="H33" i="9" s="1"/>
  <c r="C712" i="60" s="1"/>
  <c r="I41" i="9"/>
  <c r="I33" i="9" s="1"/>
  <c r="C713" i="60" s="1"/>
  <c r="M41" i="9"/>
  <c r="M33" i="9" s="1"/>
  <c r="C717" i="60" s="1"/>
  <c r="J41" i="9"/>
  <c r="J33" i="9" s="1"/>
  <c r="C714" i="60" s="1"/>
  <c r="K41" i="9"/>
  <c r="K33" i="9" s="1"/>
  <c r="C715" i="60" s="1"/>
  <c r="D13" i="18"/>
  <c r="C723" i="60" s="1"/>
  <c r="M33" i="11"/>
  <c r="H664" i="60" l="1"/>
  <c r="G664" i="60" s="1"/>
  <c r="H40" i="9"/>
  <c r="L40" i="9"/>
  <c r="M40" i="9"/>
  <c r="J40" i="9"/>
  <c r="I40" i="9"/>
  <c r="K40" i="9"/>
  <c r="H665" i="60"/>
  <c r="G665" i="60" s="1"/>
  <c r="H661" i="60"/>
  <c r="G661" i="60" s="1"/>
  <c r="H662" i="60"/>
  <c r="G662" i="60" s="1"/>
  <c r="H663" i="60"/>
  <c r="G663" i="60" s="1"/>
  <c r="H660" i="60"/>
  <c r="G660" i="60" s="1"/>
  <c r="I625" i="60"/>
  <c r="G625" i="60" s="1"/>
  <c r="E388" i="60"/>
  <c r="K390" i="60" s="1"/>
  <c r="L390" i="60" s="1"/>
  <c r="M390" i="60" s="1"/>
  <c r="I621" i="60"/>
  <c r="G621" i="60" s="1"/>
  <c r="I620" i="60"/>
  <c r="G620" i="60" s="1"/>
  <c r="I40" i="60"/>
  <c r="E355" i="60" s="1"/>
  <c r="P8" i="60"/>
  <c r="Q9" i="60" s="1"/>
  <c r="R9" i="60" s="1"/>
  <c r="Q19" i="60"/>
  <c r="R19" i="60" s="1"/>
  <c r="Q18" i="60"/>
  <c r="R18" i="60" s="1"/>
  <c r="Q16" i="60"/>
  <c r="R16" i="60" s="1"/>
  <c r="Q15" i="60"/>
  <c r="R15" i="60" s="1"/>
  <c r="Q10" i="60"/>
  <c r="R10" i="60" s="1"/>
  <c r="Q12" i="60"/>
  <c r="R12" i="60" s="1"/>
  <c r="Q11" i="60"/>
  <c r="R11" i="60" s="1"/>
  <c r="Q17" i="60"/>
  <c r="R17" i="60" s="1"/>
  <c r="Q13" i="60"/>
  <c r="R13" i="60" s="1"/>
  <c r="Q14" i="60"/>
  <c r="R14" i="60" s="1"/>
  <c r="M34" i="11"/>
  <c r="C13" i="18"/>
  <c r="C722" i="60" s="1"/>
  <c r="M38" i="11"/>
  <c r="M19" i="11"/>
  <c r="M23" i="11"/>
  <c r="B24" i="75"/>
  <c r="N33" i="9"/>
  <c r="M28" i="11"/>
  <c r="B13" i="18"/>
  <c r="C721" i="60" s="1"/>
  <c r="G41" i="9"/>
  <c r="M15" i="11"/>
  <c r="L32" i="9" l="1"/>
  <c r="J32" i="9"/>
  <c r="J53" i="9"/>
  <c r="J56" i="9" s="1"/>
  <c r="J50" i="9" s="1"/>
  <c r="K32" i="9"/>
  <c r="K53" i="9"/>
  <c r="K56" i="9" s="1"/>
  <c r="K50" i="9" s="1"/>
  <c r="I32" i="9"/>
  <c r="I53" i="9"/>
  <c r="I56" i="9" s="1"/>
  <c r="I50" i="9" s="1"/>
  <c r="D713" i="60" s="1"/>
  <c r="E713" i="60" s="1"/>
  <c r="M32" i="9"/>
  <c r="H32" i="9"/>
  <c r="L23" i="11"/>
  <c r="G40" i="9"/>
  <c r="M625" i="60"/>
  <c r="K621" i="60"/>
  <c r="K620" i="60"/>
  <c r="F632" i="60"/>
  <c r="G632" i="60"/>
  <c r="K625" i="60"/>
  <c r="K24" i="75"/>
  <c r="E391" i="60"/>
  <c r="K391" i="60" s="1"/>
  <c r="L391" i="60" s="1"/>
  <c r="M391" i="60" s="1"/>
  <c r="M620" i="60"/>
  <c r="E380" i="60"/>
  <c r="K387" i="60" s="1"/>
  <c r="L387" i="60" s="1"/>
  <c r="M387" i="60" s="1"/>
  <c r="M621" i="60"/>
  <c r="E40" i="60"/>
  <c r="E321" i="60" s="1"/>
  <c r="E382" i="60"/>
  <c r="K388" i="60" s="1"/>
  <c r="L388" i="60" s="1"/>
  <c r="M388" i="60" s="1"/>
  <c r="G40" i="60"/>
  <c r="E338" i="60" s="1"/>
  <c r="E385" i="60"/>
  <c r="K389" i="60" s="1"/>
  <c r="L389" i="60" s="1"/>
  <c r="M389" i="60" s="1"/>
  <c r="C40" i="60"/>
  <c r="E287" i="60" s="1"/>
  <c r="E378" i="60"/>
  <c r="K386" i="60" s="1"/>
  <c r="J40" i="60"/>
  <c r="G355" i="60" s="1"/>
  <c r="E389" i="60"/>
  <c r="K399" i="60" s="1"/>
  <c r="L399" i="60" s="1"/>
  <c r="M399" i="60" s="1"/>
  <c r="D40" i="60"/>
  <c r="K40" i="60"/>
  <c r="E372" i="60" s="1"/>
  <c r="B51" i="75"/>
  <c r="D51" i="75" s="1"/>
  <c r="M29" i="11"/>
  <c r="B21" i="75"/>
  <c r="K21" i="75" s="1"/>
  <c r="B20" i="75"/>
  <c r="K20" i="75" s="1"/>
  <c r="B25" i="75"/>
  <c r="B19" i="75"/>
  <c r="B23" i="75"/>
  <c r="K23" i="75" s="1"/>
  <c r="E13" i="18"/>
  <c r="M47" i="11" s="1"/>
  <c r="M24" i="11"/>
  <c r="M42" i="11"/>
  <c r="M46" i="11"/>
  <c r="D715" i="60" l="1"/>
  <c r="E715" i="60" s="1"/>
  <c r="C35" i="18"/>
  <c r="D722" i="60" s="1"/>
  <c r="E722" i="60" s="1"/>
  <c r="D714" i="60"/>
  <c r="E714" i="60" s="1"/>
  <c r="B35" i="18"/>
  <c r="D721" i="60" s="1"/>
  <c r="E721" i="60" s="1"/>
  <c r="N32" i="9"/>
  <c r="L46" i="11" s="1"/>
  <c r="H53" i="9"/>
  <c r="B12" i="18"/>
  <c r="L28" i="11"/>
  <c r="G39" i="60" s="1"/>
  <c r="E337" i="60" s="1"/>
  <c r="M53" i="9"/>
  <c r="M56" i="9" s="1"/>
  <c r="M50" i="9" s="1"/>
  <c r="D717" i="60" s="1"/>
  <c r="E717" i="60" s="1"/>
  <c r="C12" i="18"/>
  <c r="L29" i="11" s="1"/>
  <c r="L38" i="11"/>
  <c r="I607" i="60"/>
  <c r="E665" i="60"/>
  <c r="D665" i="60" s="1"/>
  <c r="D382" i="60"/>
  <c r="F382" i="60" s="1"/>
  <c r="G47" i="9"/>
  <c r="G53" i="9" s="1"/>
  <c r="L53" i="9"/>
  <c r="L56" i="9" s="1"/>
  <c r="L50" i="9" s="1"/>
  <c r="E663" i="60"/>
  <c r="D663" i="60" s="1"/>
  <c r="I602" i="60"/>
  <c r="E660" i="60"/>
  <c r="D660" i="60" s="1"/>
  <c r="L15" i="11"/>
  <c r="E39" i="60"/>
  <c r="E320" i="60" s="1"/>
  <c r="F320" i="60" s="1"/>
  <c r="E662" i="60"/>
  <c r="D662" i="60" s="1"/>
  <c r="E661" i="60"/>
  <c r="D661" i="60" s="1"/>
  <c r="L19" i="11"/>
  <c r="I603" i="60"/>
  <c r="E664" i="60"/>
  <c r="D664" i="60" s="1"/>
  <c r="L33" i="11"/>
  <c r="D12" i="18"/>
  <c r="L386" i="60"/>
  <c r="K392" i="60"/>
  <c r="J632" i="60"/>
  <c r="K632" i="60"/>
  <c r="K19" i="75"/>
  <c r="K25" i="75"/>
  <c r="L40" i="60"/>
  <c r="E304" i="60"/>
  <c r="F40" i="60"/>
  <c r="G321" i="60" s="1"/>
  <c r="E383" i="60"/>
  <c r="K397" i="60" s="1"/>
  <c r="H40" i="60"/>
  <c r="G338" i="60" s="1"/>
  <c r="E386" i="60"/>
  <c r="K398" i="60" s="1"/>
  <c r="L398" i="60" s="1"/>
  <c r="M398" i="60" s="1"/>
  <c r="E393" i="60"/>
  <c r="B50" i="75"/>
  <c r="B48" i="75"/>
  <c r="B26" i="75"/>
  <c r="M43" i="11"/>
  <c r="D716" i="60" l="1"/>
  <c r="E716" i="60" s="1"/>
  <c r="D35" i="18"/>
  <c r="D723" i="60" s="1"/>
  <c r="E723" i="60" s="1"/>
  <c r="H39" i="60"/>
  <c r="G337" i="60" s="1"/>
  <c r="H337" i="60" s="1"/>
  <c r="L42" i="11"/>
  <c r="F337" i="60"/>
  <c r="F338" i="60"/>
  <c r="F321" i="60"/>
  <c r="G382" i="60"/>
  <c r="I39" i="60"/>
  <c r="E354" i="60" s="1"/>
  <c r="D388" i="60"/>
  <c r="D385" i="60"/>
  <c r="D378" i="60"/>
  <c r="C39" i="60"/>
  <c r="L24" i="11"/>
  <c r="D424" i="60" a="1"/>
  <c r="M607" i="60"/>
  <c r="I614" i="60"/>
  <c r="H625" i="60"/>
  <c r="H614" i="60"/>
  <c r="G603" i="60"/>
  <c r="M603" i="60"/>
  <c r="I610" i="60"/>
  <c r="H610" i="60"/>
  <c r="H621" i="60"/>
  <c r="G602" i="60"/>
  <c r="H609" i="60"/>
  <c r="I609" i="60"/>
  <c r="H620" i="60"/>
  <c r="M602" i="60"/>
  <c r="D391" i="60"/>
  <c r="K39" i="60"/>
  <c r="E371" i="60" s="1"/>
  <c r="L34" i="11"/>
  <c r="D426" i="60" a="1"/>
  <c r="D386" i="60"/>
  <c r="G386" i="60" s="1"/>
  <c r="E12" i="18"/>
  <c r="L47" i="11" s="1"/>
  <c r="D39" i="60"/>
  <c r="E303" i="60" s="1"/>
  <c r="F303" i="60" s="1"/>
  <c r="D380" i="60"/>
  <c r="H56" i="9"/>
  <c r="N53" i="9"/>
  <c r="L397" i="60"/>
  <c r="L401" i="60" s="1"/>
  <c r="M401" i="60" s="1"/>
  <c r="K401" i="60"/>
  <c r="M386" i="60"/>
  <c r="L392" i="60"/>
  <c r="M392" i="60" s="1"/>
  <c r="K26" i="75"/>
  <c r="M40" i="60"/>
  <c r="H338" i="60"/>
  <c r="E394" i="60"/>
  <c r="D50" i="75"/>
  <c r="E50" i="75"/>
  <c r="B53" i="75"/>
  <c r="C48" i="75"/>
  <c r="F48" i="75" s="1"/>
  <c r="E48" i="75"/>
  <c r="D48" i="75"/>
  <c r="G49" i="75"/>
  <c r="H49" i="75" s="1"/>
  <c r="F386" i="60" l="1"/>
  <c r="F304" i="60"/>
  <c r="L620" i="60"/>
  <c r="H627" i="60"/>
  <c r="I627" i="60"/>
  <c r="F621" i="60"/>
  <c r="G610" i="60"/>
  <c r="K603" i="60"/>
  <c r="F610" i="60"/>
  <c r="F378" i="60"/>
  <c r="G378" i="60"/>
  <c r="D393" i="60"/>
  <c r="G570" i="60"/>
  <c r="G462" i="60"/>
  <c r="G552" i="60"/>
  <c r="G606" i="60"/>
  <c r="D426" i="60"/>
  <c r="G498" i="60"/>
  <c r="G588" i="60"/>
  <c r="G516" i="60"/>
  <c r="G480" i="60"/>
  <c r="G624" i="60"/>
  <c r="G534" i="60"/>
  <c r="H632" i="60"/>
  <c r="L625" i="60"/>
  <c r="I632" i="60"/>
  <c r="G56" i="9"/>
  <c r="H50" i="9"/>
  <c r="J39" i="60"/>
  <c r="G354" i="60" s="1"/>
  <c r="D389" i="60"/>
  <c r="F620" i="60"/>
  <c r="G609" i="60"/>
  <c r="F609" i="60"/>
  <c r="K602" i="60"/>
  <c r="G385" i="60"/>
  <c r="F385" i="60"/>
  <c r="E286" i="60"/>
  <c r="L39" i="60"/>
  <c r="G380" i="60"/>
  <c r="F380" i="60"/>
  <c r="F371" i="60"/>
  <c r="F372" i="60"/>
  <c r="L621" i="60"/>
  <c r="H628" i="60"/>
  <c r="I628" i="60"/>
  <c r="L614" i="60"/>
  <c r="M614" i="60"/>
  <c r="G388" i="60"/>
  <c r="F388" i="60"/>
  <c r="L610" i="60"/>
  <c r="M610" i="60"/>
  <c r="G391" i="60"/>
  <c r="F391" i="60"/>
  <c r="G514" i="60"/>
  <c r="G568" i="60"/>
  <c r="G551" i="60"/>
  <c r="G569" i="60"/>
  <c r="G461" i="60"/>
  <c r="G604" i="60"/>
  <c r="G478" i="60"/>
  <c r="G533" i="60"/>
  <c r="G443" i="60"/>
  <c r="G479" i="60"/>
  <c r="G496" i="60"/>
  <c r="G605" i="60"/>
  <c r="G497" i="60"/>
  <c r="F461" i="60"/>
  <c r="J461" i="60" s="1"/>
  <c r="G460" i="60"/>
  <c r="D424" i="60"/>
  <c r="G587" i="60"/>
  <c r="G623" i="60"/>
  <c r="G532" i="60"/>
  <c r="G622" i="60"/>
  <c r="G515" i="60"/>
  <c r="G586" i="60"/>
  <c r="G550" i="60"/>
  <c r="F354" i="60"/>
  <c r="F355" i="60"/>
  <c r="L609" i="60"/>
  <c r="M609" i="60"/>
  <c r="F39" i="60"/>
  <c r="L43" i="11"/>
  <c r="D383" i="60"/>
  <c r="M397" i="60"/>
  <c r="G48" i="75"/>
  <c r="H48" i="75" s="1"/>
  <c r="F53" i="75"/>
  <c r="G51" i="75"/>
  <c r="G47" i="75"/>
  <c r="H47" i="75" s="1"/>
  <c r="G52" i="75"/>
  <c r="H52" i="75" s="1"/>
  <c r="G50" i="75"/>
  <c r="E53" i="75"/>
  <c r="G22" i="75"/>
  <c r="C53" i="75"/>
  <c r="D53" i="75"/>
  <c r="G46" i="75"/>
  <c r="N50" i="9" l="1"/>
  <c r="D712" i="60"/>
  <c r="E712" i="60" s="1"/>
  <c r="I532" i="60"/>
  <c r="K532" i="60"/>
  <c r="F550" i="60"/>
  <c r="K496" i="60"/>
  <c r="F514" i="60"/>
  <c r="I496" i="60"/>
  <c r="F569" i="60"/>
  <c r="G576" i="60" s="1"/>
  <c r="K551" i="60"/>
  <c r="I551" i="60"/>
  <c r="L632" i="60"/>
  <c r="M632" i="60"/>
  <c r="G444" i="60"/>
  <c r="F462" i="60"/>
  <c r="I623" i="60"/>
  <c r="M623" i="60" s="1"/>
  <c r="K623" i="60"/>
  <c r="I479" i="60"/>
  <c r="F497" i="60"/>
  <c r="K479" i="60"/>
  <c r="K568" i="60"/>
  <c r="I568" i="60"/>
  <c r="F586" i="60"/>
  <c r="F627" i="60"/>
  <c r="J620" i="60"/>
  <c r="G627" i="60"/>
  <c r="J610" i="60"/>
  <c r="K610" i="60"/>
  <c r="K498" i="60"/>
  <c r="I498" i="60"/>
  <c r="F516" i="60"/>
  <c r="F605" i="60"/>
  <c r="J605" i="60" s="1"/>
  <c r="K587" i="60"/>
  <c r="I587" i="60"/>
  <c r="F450" i="60"/>
  <c r="G450" i="60"/>
  <c r="K443" i="60"/>
  <c r="I443" i="60"/>
  <c r="K514" i="60"/>
  <c r="I514" i="60"/>
  <c r="F532" i="60"/>
  <c r="F539" i="60" s="1"/>
  <c r="F389" i="60"/>
  <c r="G389" i="60"/>
  <c r="F552" i="60"/>
  <c r="I534" i="60"/>
  <c r="K534" i="60"/>
  <c r="F570" i="60"/>
  <c r="K552" i="60"/>
  <c r="I552" i="60"/>
  <c r="G442" i="60"/>
  <c r="F460" i="60"/>
  <c r="I533" i="60"/>
  <c r="K533" i="60"/>
  <c r="F551" i="60"/>
  <c r="F286" i="60"/>
  <c r="F287" i="60"/>
  <c r="H354" i="60"/>
  <c r="H355" i="60"/>
  <c r="K624" i="60"/>
  <c r="I624" i="60"/>
  <c r="M624" i="60" s="1"/>
  <c r="K462" i="60"/>
  <c r="F480" i="60"/>
  <c r="I462" i="60"/>
  <c r="J621" i="60"/>
  <c r="G628" i="60"/>
  <c r="F628" i="60"/>
  <c r="K569" i="60"/>
  <c r="F587" i="60"/>
  <c r="I569" i="60"/>
  <c r="D394" i="60"/>
  <c r="G383" i="60"/>
  <c r="F383" i="60"/>
  <c r="I550" i="60"/>
  <c r="F568" i="60"/>
  <c r="K550" i="60"/>
  <c r="F478" i="60"/>
  <c r="K460" i="60"/>
  <c r="I460" i="60"/>
  <c r="K478" i="60"/>
  <c r="F496" i="60"/>
  <c r="J496" i="60" s="1"/>
  <c r="I478" i="60"/>
  <c r="F498" i="60"/>
  <c r="J498" i="60" s="1"/>
  <c r="I480" i="60"/>
  <c r="K480" i="60"/>
  <c r="F588" i="60"/>
  <c r="K570" i="60"/>
  <c r="I570" i="60"/>
  <c r="F604" i="60"/>
  <c r="J604" i="60" s="1"/>
  <c r="I586" i="60"/>
  <c r="K586" i="60"/>
  <c r="L628" i="60"/>
  <c r="M628" i="60"/>
  <c r="F534" i="60"/>
  <c r="K516" i="60"/>
  <c r="I516" i="60"/>
  <c r="F393" i="60"/>
  <c r="G393" i="60"/>
  <c r="G320" i="60"/>
  <c r="M39" i="60"/>
  <c r="F533" i="60"/>
  <c r="I515" i="60"/>
  <c r="K515" i="60"/>
  <c r="K497" i="60"/>
  <c r="I497" i="60"/>
  <c r="F515" i="60"/>
  <c r="F468" i="60"/>
  <c r="I461" i="60"/>
  <c r="G468" i="60"/>
  <c r="F479" i="60"/>
  <c r="J479" i="60" s="1"/>
  <c r="K461" i="60"/>
  <c r="K609" i="60"/>
  <c r="J609" i="60"/>
  <c r="K588" i="60"/>
  <c r="F606" i="60"/>
  <c r="J606" i="60" s="1"/>
  <c r="I588" i="60"/>
  <c r="L627" i="60"/>
  <c r="M627" i="60"/>
  <c r="J48" i="75"/>
  <c r="H51" i="75"/>
  <c r="J51" i="75"/>
  <c r="H50" i="75"/>
  <c r="J50" i="75"/>
  <c r="H22" i="75"/>
  <c r="H46" i="75"/>
  <c r="G53" i="75"/>
  <c r="J53" i="75" s="1"/>
  <c r="G486" i="60" l="1"/>
  <c r="F503" i="60"/>
  <c r="G503" i="60"/>
  <c r="J588" i="60"/>
  <c r="K595" i="60" s="1"/>
  <c r="F595" i="60"/>
  <c r="G595" i="60"/>
  <c r="J480" i="60"/>
  <c r="K487" i="60" s="1"/>
  <c r="G487" i="60"/>
  <c r="F487" i="60"/>
  <c r="M586" i="60"/>
  <c r="H604" i="60"/>
  <c r="L604" i="60" s="1"/>
  <c r="H461" i="60"/>
  <c r="L461" i="60" s="1"/>
  <c r="I450" i="60"/>
  <c r="H450" i="60"/>
  <c r="M443" i="60"/>
  <c r="J516" i="60"/>
  <c r="J523" i="60" s="1"/>
  <c r="F523" i="60"/>
  <c r="G523" i="60"/>
  <c r="J586" i="60"/>
  <c r="K593" i="60" s="1"/>
  <c r="G593" i="60"/>
  <c r="F593" i="60"/>
  <c r="J462" i="60"/>
  <c r="K469" i="60" s="1"/>
  <c r="G469" i="60"/>
  <c r="F469" i="60"/>
  <c r="J514" i="60"/>
  <c r="J521" i="60" s="1"/>
  <c r="F521" i="60"/>
  <c r="J551" i="60"/>
  <c r="J558" i="60" s="1"/>
  <c r="F558" i="60"/>
  <c r="M480" i="60"/>
  <c r="H498" i="60"/>
  <c r="I505" i="60" s="1"/>
  <c r="H551" i="60"/>
  <c r="M533" i="60"/>
  <c r="H552" i="60"/>
  <c r="M534" i="60"/>
  <c r="J450" i="60"/>
  <c r="K450" i="60"/>
  <c r="M498" i="60"/>
  <c r="H516" i="60"/>
  <c r="I523" i="60" s="1"/>
  <c r="M568" i="60"/>
  <c r="H586" i="60"/>
  <c r="L586" i="60" s="1"/>
  <c r="K444" i="60"/>
  <c r="I444" i="60"/>
  <c r="F451" i="60"/>
  <c r="G451" i="60"/>
  <c r="J503" i="60"/>
  <c r="K503" i="60"/>
  <c r="J469" i="60"/>
  <c r="G540" i="60"/>
  <c r="F540" i="60"/>
  <c r="J533" i="60"/>
  <c r="F486" i="60"/>
  <c r="J568" i="60"/>
  <c r="F575" i="60"/>
  <c r="J460" i="60"/>
  <c r="J467" i="60" s="1"/>
  <c r="F467" i="60"/>
  <c r="G467" i="60"/>
  <c r="J552" i="60"/>
  <c r="G559" i="60"/>
  <c r="F559" i="60"/>
  <c r="J505" i="60"/>
  <c r="K505" i="60"/>
  <c r="K575" i="60"/>
  <c r="J575" i="60"/>
  <c r="J550" i="60"/>
  <c r="J557" i="60" s="1"/>
  <c r="F557" i="60"/>
  <c r="G557" i="60"/>
  <c r="J468" i="60"/>
  <c r="K468" i="60"/>
  <c r="J570" i="60"/>
  <c r="J577" i="60" s="1"/>
  <c r="G577" i="60"/>
  <c r="F577" i="60"/>
  <c r="J587" i="60"/>
  <c r="K594" i="60" s="1"/>
  <c r="G594" i="60"/>
  <c r="H320" i="60"/>
  <c r="H321" i="60"/>
  <c r="M478" i="60"/>
  <c r="H496" i="60"/>
  <c r="L496" i="60" s="1"/>
  <c r="M550" i="60"/>
  <c r="H568" i="60"/>
  <c r="I575" i="60" s="1"/>
  <c r="I442" i="60"/>
  <c r="F449" i="60"/>
  <c r="G449" i="60"/>
  <c r="K442" i="60"/>
  <c r="J486" i="60"/>
  <c r="K486" i="60"/>
  <c r="M515" i="60"/>
  <c r="H533" i="60"/>
  <c r="H540" i="60" s="1"/>
  <c r="H587" i="60"/>
  <c r="M569" i="60"/>
  <c r="H534" i="60"/>
  <c r="L534" i="60" s="1"/>
  <c r="M516" i="60"/>
  <c r="I541" i="60"/>
  <c r="J515" i="60"/>
  <c r="J522" i="60" s="1"/>
  <c r="G522" i="60"/>
  <c r="F522" i="60"/>
  <c r="F594" i="60"/>
  <c r="F541" i="60"/>
  <c r="G541" i="60"/>
  <c r="J534" i="60"/>
  <c r="J541" i="60" s="1"/>
  <c r="G558" i="60"/>
  <c r="H605" i="60"/>
  <c r="L605" i="60" s="1"/>
  <c r="M587" i="60"/>
  <c r="J497" i="60"/>
  <c r="J504" i="60" s="1"/>
  <c r="G504" i="60"/>
  <c r="F504" i="60"/>
  <c r="H569" i="60"/>
  <c r="I576" i="60" s="1"/>
  <c r="M551" i="60"/>
  <c r="H550" i="60"/>
  <c r="M532" i="60"/>
  <c r="M461" i="60"/>
  <c r="H479" i="60"/>
  <c r="M497" i="60"/>
  <c r="H515" i="60"/>
  <c r="G521" i="60"/>
  <c r="M570" i="60"/>
  <c r="H588" i="60"/>
  <c r="I595" i="60" s="1"/>
  <c r="K628" i="60"/>
  <c r="J628" i="60"/>
  <c r="H570" i="60"/>
  <c r="M552" i="60"/>
  <c r="J532" i="60"/>
  <c r="K539" i="60" s="1"/>
  <c r="G539" i="60"/>
  <c r="H497" i="60"/>
  <c r="M479" i="60"/>
  <c r="F505" i="60"/>
  <c r="M496" i="60"/>
  <c r="H514" i="60"/>
  <c r="J478" i="60"/>
  <c r="K485" i="60" s="1"/>
  <c r="F485" i="60"/>
  <c r="G485" i="60"/>
  <c r="M588" i="60"/>
  <c r="H606" i="60"/>
  <c r="L606" i="60" s="1"/>
  <c r="G575" i="60"/>
  <c r="H478" i="60"/>
  <c r="H485" i="60" s="1"/>
  <c r="M460" i="60"/>
  <c r="F394" i="60"/>
  <c r="G394" i="60"/>
  <c r="H480" i="60"/>
  <c r="M462" i="60"/>
  <c r="K559" i="60"/>
  <c r="J559" i="60"/>
  <c r="M514" i="60"/>
  <c r="H532" i="60"/>
  <c r="J627" i="60"/>
  <c r="K627" i="60"/>
  <c r="J569" i="60"/>
  <c r="F576" i="60"/>
  <c r="G505" i="60"/>
  <c r="H53" i="75"/>
  <c r="J594" i="60" l="1"/>
  <c r="K504" i="60"/>
  <c r="H593" i="60"/>
  <c r="K523" i="60"/>
  <c r="H541" i="60"/>
  <c r="J595" i="60"/>
  <c r="K577" i="60"/>
  <c r="I593" i="60"/>
  <c r="J487" i="60"/>
  <c r="K522" i="60"/>
  <c r="J485" i="60"/>
  <c r="L552" i="60"/>
  <c r="H559" i="60"/>
  <c r="I559" i="60"/>
  <c r="L550" i="60"/>
  <c r="L557" i="60" s="1"/>
  <c r="I557" i="60"/>
  <c r="I468" i="60"/>
  <c r="H449" i="60"/>
  <c r="M442" i="60"/>
  <c r="I449" i="60"/>
  <c r="H460" i="60"/>
  <c r="K467" i="60"/>
  <c r="L593" i="60"/>
  <c r="M593" i="60"/>
  <c r="J449" i="60"/>
  <c r="K449" i="60"/>
  <c r="L587" i="60"/>
  <c r="M594" i="60" s="1"/>
  <c r="I594" i="60"/>
  <c r="H594" i="60"/>
  <c r="K558" i="60"/>
  <c r="L568" i="60"/>
  <c r="L575" i="60" s="1"/>
  <c r="H575" i="60"/>
  <c r="L551" i="60"/>
  <c r="M558" i="60" s="1"/>
  <c r="I558" i="60"/>
  <c r="H558" i="60"/>
  <c r="K521" i="60"/>
  <c r="K541" i="60"/>
  <c r="M576" i="60"/>
  <c r="L576" i="60"/>
  <c r="L514" i="60"/>
  <c r="M521" i="60" s="1"/>
  <c r="I521" i="60"/>
  <c r="H521" i="60"/>
  <c r="K451" i="60"/>
  <c r="J451" i="60"/>
  <c r="L559" i="60"/>
  <c r="M559" i="60"/>
  <c r="L479" i="60"/>
  <c r="M486" i="60" s="1"/>
  <c r="I486" i="60"/>
  <c r="H486" i="60"/>
  <c r="J539" i="60"/>
  <c r="L515" i="60"/>
  <c r="L522" i="60" s="1"/>
  <c r="I522" i="60"/>
  <c r="L468" i="60"/>
  <c r="M468" i="60"/>
  <c r="L516" i="60"/>
  <c r="M523" i="60" s="1"/>
  <c r="H523" i="60"/>
  <c r="L498" i="60"/>
  <c r="L505" i="60" s="1"/>
  <c r="H505" i="60"/>
  <c r="H468" i="60"/>
  <c r="I451" i="60"/>
  <c r="M444" i="60"/>
  <c r="H451" i="60"/>
  <c r="H462" i="60"/>
  <c r="K576" i="60"/>
  <c r="J576" i="60"/>
  <c r="L588" i="60"/>
  <c r="M595" i="60" s="1"/>
  <c r="H595" i="60"/>
  <c r="M522" i="60"/>
  <c r="K557" i="60"/>
  <c r="L532" i="60"/>
  <c r="M539" i="60" s="1"/>
  <c r="I539" i="60"/>
  <c r="H539" i="60"/>
  <c r="J593" i="60"/>
  <c r="J540" i="60"/>
  <c r="K540" i="60"/>
  <c r="M487" i="60"/>
  <c r="L487" i="60"/>
  <c r="M450" i="60"/>
  <c r="L450" i="60"/>
  <c r="H522" i="60"/>
  <c r="L541" i="60"/>
  <c r="M541" i="60"/>
  <c r="L480" i="60"/>
  <c r="H487" i="60"/>
  <c r="L503" i="60"/>
  <c r="M503" i="60"/>
  <c r="L533" i="60"/>
  <c r="M540" i="60" s="1"/>
  <c r="I540" i="60"/>
  <c r="L569" i="60"/>
  <c r="H576" i="60"/>
  <c r="I487" i="60"/>
  <c r="L570" i="60"/>
  <c r="M577" i="60" s="1"/>
  <c r="H577" i="60"/>
  <c r="I577" i="60"/>
  <c r="L478" i="60"/>
  <c r="L485" i="60" s="1"/>
  <c r="I485" i="60"/>
  <c r="L497" i="60"/>
  <c r="M504" i="60" s="1"/>
  <c r="H504" i="60"/>
  <c r="I504" i="60"/>
  <c r="H557" i="60"/>
  <c r="H503" i="60"/>
  <c r="I503" i="60"/>
  <c r="M575" i="60" l="1"/>
  <c r="M485" i="60"/>
  <c r="L523" i="60"/>
  <c r="L504" i="60"/>
  <c r="L460" i="60"/>
  <c r="H467" i="60"/>
  <c r="I467" i="60"/>
  <c r="L594" i="60"/>
  <c r="I469" i="60"/>
  <c r="H469" i="60"/>
  <c r="L462" i="60"/>
  <c r="L540" i="60"/>
  <c r="L558" i="60"/>
  <c r="M449" i="60"/>
  <c r="L449" i="60"/>
  <c r="L595" i="60"/>
  <c r="L486" i="60"/>
  <c r="M557" i="60"/>
  <c r="L539" i="60"/>
  <c r="M505" i="60"/>
  <c r="L521" i="60"/>
  <c r="L577" i="60"/>
  <c r="L451" i="60"/>
  <c r="M451" i="60"/>
  <c r="F623" i="60"/>
  <c r="G630" i="60" s="1"/>
  <c r="K605" i="60"/>
  <c r="J612" i="60" s="1"/>
  <c r="K606" i="60"/>
  <c r="K613" i="60" s="1"/>
  <c r="F624" i="60"/>
  <c r="G631" i="60" s="1"/>
  <c r="F622" i="60"/>
  <c r="J622" i="60" s="1"/>
  <c r="K604" i="60"/>
  <c r="K611" i="60" s="1"/>
  <c r="G611" i="60"/>
  <c r="F611" i="60"/>
  <c r="F613" i="60"/>
  <c r="G613" i="60"/>
  <c r="F612" i="60"/>
  <c r="G612" i="60"/>
  <c r="I606" i="60"/>
  <c r="M606" i="60" s="1"/>
  <c r="I605" i="60"/>
  <c r="H623" i="60" s="1"/>
  <c r="I604" i="60"/>
  <c r="I611" i="60" s="1"/>
  <c r="L469" i="60" l="1"/>
  <c r="M469" i="60"/>
  <c r="L467" i="60"/>
  <c r="M467" i="60"/>
  <c r="J623" i="60"/>
  <c r="J630" i="60" s="1"/>
  <c r="K612" i="60"/>
  <c r="I613" i="60"/>
  <c r="H612" i="60"/>
  <c r="J611" i="60"/>
  <c r="J624" i="60"/>
  <c r="J631" i="60" s="1"/>
  <c r="J613" i="60"/>
  <c r="H611" i="60"/>
  <c r="H624" i="60"/>
  <c r="L624" i="60" s="1"/>
  <c r="M631" i="60" s="1"/>
  <c r="H622" i="60"/>
  <c r="L622" i="60" s="1"/>
  <c r="I630" i="60"/>
  <c r="L623" i="60"/>
  <c r="H630" i="60"/>
  <c r="M613" i="60"/>
  <c r="L613" i="60"/>
  <c r="F630" i="60"/>
  <c r="I612" i="60"/>
  <c r="M605" i="60"/>
  <c r="F631" i="60"/>
  <c r="M604" i="60"/>
  <c r="H613" i="60"/>
  <c r="K631" i="60" l="1"/>
  <c r="K630" i="60"/>
  <c r="I631" i="60"/>
  <c r="L631" i="60"/>
  <c r="H631" i="60"/>
  <c r="L611" i="60"/>
  <c r="M611" i="60"/>
  <c r="M612" i="60"/>
  <c r="L612" i="60"/>
  <c r="M630" i="60"/>
  <c r="L630" i="60"/>
  <c r="K622" i="60"/>
  <c r="K629" i="60" s="1"/>
  <c r="G629" i="60"/>
  <c r="F629" i="60"/>
  <c r="I622" i="60"/>
  <c r="H629" i="60" s="1"/>
  <c r="I629" i="60" l="1"/>
  <c r="J629" i="60"/>
  <c r="M622" i="60"/>
  <c r="M629" i="60" l="1"/>
  <c r="L629" i="60"/>
  <c r="C17" i="75" l="1"/>
  <c r="N22" i="75" l="1"/>
  <c r="O22" i="75"/>
  <c r="M22" i="75"/>
  <c r="B15" i="75"/>
  <c r="B27" i="75"/>
  <c r="D24" i="75"/>
  <c r="D25" i="75"/>
  <c r="E23" i="75"/>
  <c r="E19" i="75"/>
  <c r="D20" i="75"/>
  <c r="C21" i="75"/>
  <c r="D21" i="75"/>
  <c r="F23" i="75"/>
  <c r="O23" i="75" s="1"/>
  <c r="D23" i="75"/>
  <c r="E20" i="75"/>
  <c r="E21" i="75"/>
  <c r="D19" i="75"/>
  <c r="F21" i="75"/>
  <c r="F19" i="75"/>
  <c r="F24" i="75"/>
  <c r="O24" i="75" s="1"/>
  <c r="F20" i="75"/>
  <c r="O20" i="75" s="1"/>
  <c r="E24" i="75"/>
  <c r="E25" i="75"/>
  <c r="F25" i="75"/>
  <c r="O25" i="75" s="1"/>
  <c r="J22" i="75"/>
  <c r="P22" i="75" l="1"/>
  <c r="Q22" i="75" s="1"/>
  <c r="O21" i="75"/>
  <c r="N21" i="75"/>
  <c r="N23" i="75"/>
  <c r="N25" i="75"/>
  <c r="N20" i="75"/>
  <c r="M25" i="75"/>
  <c r="G25" i="75"/>
  <c r="M23" i="75"/>
  <c r="G23" i="75"/>
  <c r="M24" i="75"/>
  <c r="G24" i="75"/>
  <c r="M21" i="75"/>
  <c r="N24" i="75"/>
  <c r="O19" i="75"/>
  <c r="F26" i="75"/>
  <c r="L21" i="75"/>
  <c r="G21" i="75"/>
  <c r="C26" i="75"/>
  <c r="M20" i="75"/>
  <c r="G20" i="75"/>
  <c r="M19" i="75"/>
  <c r="G19" i="75"/>
  <c r="D26" i="75"/>
  <c r="N19" i="75"/>
  <c r="E26" i="75"/>
  <c r="P21" i="75" l="1"/>
  <c r="P23" i="75"/>
  <c r="Q23" i="75" s="1"/>
  <c r="O26" i="75"/>
  <c r="P19" i="75"/>
  <c r="M26" i="75"/>
  <c r="P20" i="75"/>
  <c r="Q20" i="75" s="1"/>
  <c r="P24" i="75"/>
  <c r="Q24" i="75" s="1"/>
  <c r="N26" i="75"/>
  <c r="H20" i="75"/>
  <c r="J20" i="75"/>
  <c r="H25" i="75"/>
  <c r="J25" i="75"/>
  <c r="H21" i="75"/>
  <c r="J21" i="75"/>
  <c r="P25" i="75"/>
  <c r="Q25" i="75" s="1"/>
  <c r="H23" i="75"/>
  <c r="J23" i="75"/>
  <c r="G26" i="75"/>
  <c r="J26" i="75" s="1"/>
  <c r="H19" i="75"/>
  <c r="J19" i="75"/>
  <c r="L26" i="75"/>
  <c r="Q21" i="75"/>
  <c r="H24" i="75"/>
  <c r="J24" i="75"/>
  <c r="H26" i="75" l="1"/>
  <c r="Q19" i="75"/>
  <c r="Q26" i="75" s="1"/>
  <c r="P26" i="7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N2" authorId="0" shapeId="0" xr:uid="{A57BCDB9-D3D1-477F-AA92-BA553839826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Include all of the variables for Predicted Purchases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N2" authorId="0" shapeId="0" xr:uid="{2E5087B0-3137-4738-BF14-5D3AC28C3C4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Include all of the variables for Predicted Purchases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35" authorId="0" shapeId="0" xr:uid="{345B4925-1D7A-4ED8-A263-2D0EB28E7F5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These 2 should not be 100% weather sensitive</t>
        </r>
      </text>
    </comment>
    <comment ref="J35" authorId="0" shapeId="0" xr:uid="{BE336CCA-67F0-4462-8E60-FDB466DE566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Comes from HO Load Profile Page 1 in GS&gt;50</t>
        </r>
      </text>
    </comment>
    <comment ref="I52" authorId="0" shapeId="0" xr:uid="{8AF16D34-5211-401B-8B48-C6D6DCCAE8B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These 2 should not be 100% weather sensitive</t>
        </r>
      </text>
    </comment>
    <comment ref="J52" authorId="0" shapeId="0" xr:uid="{A4020F3F-F62F-46BD-9CFB-B0044D75379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Comes from HO Load Profile Page 1 in GS&gt;50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<sst xmlns="http://schemas.openxmlformats.org/spreadsheetml/2006/main" count="1225" uniqueCount="290">
  <si>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</si>
  <si>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</si>
  <si>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</si>
  <si>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</si>
  <si>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</si>
  <si>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</si>
  <si>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</si>
  <si>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Number of Peak Hours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</si>
  <si>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</si>
  <si>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</si>
  <si>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</si>
  <si>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</si>
  <si>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</si>
  <si>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</si>
  <si>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</si>
  <si>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</si>
  <si>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</si>
  <si>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</si>
  <si>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</si>
  <si>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</si>
  <si>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</si>
  <si>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</si>
  <si>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</si>
  <si>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</si>
  <si>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</si>
  <si>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</si>
  <si>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</si>
  <si>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</si>
  <si>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</si>
  <si>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</si>
  <si>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</si>
  <si>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</si>
  <si>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</si>
  <si>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</si>
  <si>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</si>
  <si>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</si>
  <si>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</si>
  <si>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</si>
  <si>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</si>
  <si>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</si>
  <si>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</si>
  <si>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</si>
  <si>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</si>
  <si>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</si>
  <si>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</si>
  <si>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</si>
  <si>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</si>
  <si>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</si>
  <si>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</si>
  <si>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</si>
  <si>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</si>
  <si>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</si>
  <si>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</si>
  <si>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</si>
  <si>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</si>
  <si>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</si>
  <si>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r>
      <t xml:space="preserve">General Service </t>
    </r>
    <r>
      <rPr>
        <u/>
        <sz val="10"/>
        <rFont val="Arial"/>
        <family val="2"/>
      </rPr>
      <t>&lt; 50 kW</t>
    </r>
  </si>
  <si>
    <r>
      <t xml:space="preserve">General Service </t>
    </r>
    <r>
      <rPr>
        <u/>
        <sz val="10"/>
        <rFont val="Arial"/>
        <family val="2"/>
      </rPr>
      <t>&gt; 50 to 999 kW</t>
    </r>
  </si>
  <si>
    <t>kW/kWh</t>
  </si>
  <si>
    <t>Street Lights</t>
  </si>
  <si>
    <t>May</t>
  </si>
  <si>
    <t>kWh</t>
  </si>
  <si>
    <t>kW</t>
  </si>
  <si>
    <t>Number of Customers</t>
  </si>
  <si>
    <t>% Variance (Abs)</t>
  </si>
  <si>
    <t xml:space="preserve">2015 Actual </t>
  </si>
  <si>
    <t xml:space="preserve">2016 Actual </t>
  </si>
  <si>
    <t>Co-generation Facility Flag</t>
  </si>
  <si>
    <t>Sentinel Lights</t>
  </si>
  <si>
    <t xml:space="preserve">2017 Actual </t>
  </si>
  <si>
    <t>Trend</t>
  </si>
  <si>
    <t>Power Purchased</t>
  </si>
  <si>
    <t>MAPE</t>
  </si>
  <si>
    <t>Average Number of Customer/Connections</t>
  </si>
  <si>
    <t>Forecast</t>
  </si>
  <si>
    <t>2013 Actual</t>
  </si>
  <si>
    <t xml:space="preserve">2018 Actual </t>
  </si>
  <si>
    <t xml:space="preserve">2019 Actual </t>
  </si>
  <si>
    <t xml:space="preserve">Total Billed </t>
  </si>
  <si>
    <t>Variables</t>
  </si>
  <si>
    <t xml:space="preserve">Notes: </t>
  </si>
  <si>
    <t xml:space="preserve">1) Enter Variables here that will be used to run the regression analysis in worksheet 6. WS Regression Analysis ( Maximum 6 variables)
"Wholesale" purchases are purchases measured at the wholesale meter. </t>
  </si>
  <si>
    <t xml:space="preserve">Note: Your final regression analysis does not need to include all six of the variables 
Note: Your final regression analysis does not need to include all six of the variables 
</t>
  </si>
  <si>
    <t>Jan</t>
  </si>
  <si>
    <t>Feb</t>
  </si>
  <si>
    <t>Mar</t>
  </si>
  <si>
    <t>Apr</t>
  </si>
  <si>
    <t>Jun</t>
  </si>
  <si>
    <t>Jul</t>
  </si>
  <si>
    <t>Aug</t>
  </si>
  <si>
    <t>Sept</t>
  </si>
  <si>
    <t>Oct</t>
  </si>
  <si>
    <t>Nov</t>
  </si>
  <si>
    <t>Dec</t>
  </si>
  <si>
    <t>GDP</t>
  </si>
  <si>
    <t xml:space="preserve">Spring and Fall </t>
  </si>
  <si>
    <t>Peak Number of Hours</t>
  </si>
  <si>
    <t>Input data</t>
  </si>
  <si>
    <t>Wholesale Power Purchased</t>
  </si>
  <si>
    <t>10 year average</t>
  </si>
  <si>
    <t>Residential</t>
  </si>
  <si>
    <t>GS&lt;50</t>
  </si>
  <si>
    <t>GS&gt;50</t>
  </si>
  <si>
    <t>HardCoded</t>
  </si>
  <si>
    <t>StreetLighting</t>
  </si>
  <si>
    <t>Lower 95.0%</t>
  </si>
  <si>
    <t>Upper 95.0%</t>
  </si>
  <si>
    <t>Based on 10-year average</t>
  </si>
  <si>
    <t>KWB Unemployment  (000's)</t>
  </si>
  <si>
    <t>KWB Employment  (000's)</t>
  </si>
  <si>
    <t>Summary of Load</t>
  </si>
  <si>
    <t>Year</t>
  </si>
  <si>
    <t>GS &lt; 50 kW</t>
  </si>
  <si>
    <t>GS &gt; 50 kW</t>
  </si>
  <si>
    <t>Street Lighting</t>
  </si>
  <si>
    <t>Unmetred Scattered Load</t>
  </si>
  <si>
    <t>Customer Usage</t>
  </si>
  <si>
    <t>Res kWh</t>
  </si>
  <si>
    <t>GS&lt;50 kWh</t>
  </si>
  <si>
    <t>GS&gt;50 kWh</t>
  </si>
  <si>
    <t>GS&gt;50 kW</t>
  </si>
  <si>
    <t>StreetLighting kW</t>
  </si>
  <si>
    <t>StreetLighting kWh</t>
  </si>
  <si>
    <t>Sentinel kW</t>
  </si>
  <si>
    <t>Summary of Load and Customer/Connection Forecast</t>
  </si>
  <si>
    <t>Growth (kWh)</t>
  </si>
  <si>
    <t>Percentage Change %</t>
  </si>
  <si>
    <t>Growth</t>
  </si>
  <si>
    <t>Perecentage Change %</t>
  </si>
  <si>
    <t>Customer / Connection Count</t>
  </si>
  <si>
    <t>Sentinel kWh</t>
  </si>
  <si>
    <t>Sentinel Connections</t>
  </si>
  <si>
    <t>Unmetered Scattered Load kWH</t>
  </si>
  <si>
    <t>Unmetered Scattered load Connections</t>
  </si>
  <si>
    <t>Summary of Customer/Connection</t>
  </si>
  <si>
    <t>Customer Count/Customer Connections</t>
  </si>
  <si>
    <t>HDD Year</t>
  </si>
  <si>
    <t>CDD Year</t>
  </si>
  <si>
    <t>Number of Customer Year</t>
  </si>
  <si>
    <t>Actual kWh Purchased</t>
  </si>
  <si>
    <t>Predicted kWh</t>
  </si>
  <si>
    <t>Purchased vs Predicted</t>
  </si>
  <si>
    <t>Adjusted kWh</t>
  </si>
  <si>
    <t>USF Weather Normal Load Forecast for 2024 Rate Application</t>
  </si>
  <si>
    <t>Number of Customers Res and GS&lt;50</t>
  </si>
  <si>
    <t>covid Flag</t>
  </si>
  <si>
    <t>Check - must be zero</t>
  </si>
  <si>
    <t>Last 10 years</t>
  </si>
  <si>
    <t>Last 5 years</t>
  </si>
  <si>
    <t>Demand only</t>
  </si>
  <si>
    <t>Losses??</t>
  </si>
  <si>
    <t>Real Ontario GDP (chained $1997 with Base 100 in 1997) %</t>
  </si>
  <si>
    <t>2014 Actual</t>
  </si>
  <si>
    <t>2020 Actual</t>
  </si>
  <si>
    <t>2021 Actual</t>
  </si>
  <si>
    <t>2022 Actual</t>
  </si>
  <si>
    <t>2023 Bridge</t>
  </si>
  <si>
    <t>2024 Test</t>
  </si>
  <si>
    <t>Weather Normal</t>
  </si>
  <si>
    <t>Weather Actual</t>
  </si>
  <si>
    <t>WN/WA</t>
  </si>
  <si>
    <t>RPP</t>
  </si>
  <si>
    <t>non-RPP</t>
  </si>
  <si>
    <t>Class A</t>
  </si>
  <si>
    <t>GS &lt; 50</t>
  </si>
  <si>
    <t>GS &gt; 50</t>
  </si>
  <si>
    <t>Embedded Distributor</t>
  </si>
  <si>
    <t>Street Light</t>
  </si>
  <si>
    <t>Sentinel Light</t>
  </si>
  <si>
    <t>USL</t>
  </si>
  <si>
    <t>2024 Forecast</t>
  </si>
  <si>
    <t>WMP</t>
  </si>
  <si>
    <t>Total no losses</t>
  </si>
  <si>
    <t>with losses</t>
  </si>
  <si>
    <t>Total w losses</t>
  </si>
  <si>
    <t>Total w WMP</t>
  </si>
  <si>
    <t>From 2022 RRR kW, no losses on Demand</t>
  </si>
  <si>
    <t>Total without WMP</t>
  </si>
  <si>
    <t>Used the calculated growth factor below, except for Residential which is based on expected subdivision connections-92 in 2023 and 145 in 2024</t>
  </si>
  <si>
    <t>New Loss factor</t>
  </si>
  <si>
    <t>Proof</t>
  </si>
  <si>
    <t>2024 Forecast with losses</t>
  </si>
  <si>
    <t>Total no WMP</t>
  </si>
  <si>
    <t>From 2022 RRR kWh, this is non-loss-adjusted data, METERED DATA</t>
  </si>
  <si>
    <t>2014 BA</t>
  </si>
  <si>
    <t>Billed GWh</t>
  </si>
  <si>
    <t>2014 Board Approved</t>
  </si>
  <si>
    <t>Billed kWh</t>
  </si>
  <si>
    <t>Variable</t>
  </si>
  <si>
    <t>Adjusted R-Square</t>
  </si>
  <si>
    <t>Impact on Final R-Squared</t>
  </si>
  <si>
    <t>Equation Parameters</t>
  </si>
  <si>
    <t>Multiple Regression Equation</t>
  </si>
  <si>
    <t>No of Days in Month</t>
  </si>
  <si>
    <t>No of Peak Hours</t>
  </si>
  <si>
    <t>???</t>
  </si>
  <si>
    <t>Growth rate in Customer/Connections</t>
  </si>
  <si>
    <t>Unmetered Scattered Load</t>
  </si>
  <si>
    <t>Historical Annual Usage per Customer (kWh)</t>
  </si>
  <si>
    <t>Residential Variance</t>
  </si>
  <si>
    <t>Customer Count</t>
  </si>
  <si>
    <t>% Change</t>
  </si>
  <si>
    <t>GS&lt;50 Variance</t>
  </si>
  <si>
    <t>GS&gt;50 Variance</t>
  </si>
  <si>
    <t>Streetlights Variance</t>
  </si>
  <si>
    <t>Sentinel Lights Variance</t>
  </si>
  <si>
    <t>Unmetered Scattered Load Variance</t>
  </si>
  <si>
    <t>Variance Analysis by Class</t>
  </si>
  <si>
    <t>Customer Class</t>
  </si>
  <si>
    <t>Variance</t>
  </si>
  <si>
    <t>StreetLights</t>
  </si>
  <si>
    <t>Totals</t>
  </si>
  <si>
    <t>Cust/Conn</t>
  </si>
  <si>
    <t>Customers</t>
  </si>
  <si>
    <t>Connections</t>
  </si>
  <si>
    <t>kWh/kW</t>
  </si>
  <si>
    <t>GS&lt;50 kW</t>
  </si>
  <si>
    <t>Weather Normalization Factor</t>
  </si>
  <si>
    <t>Weather normalization factor</t>
  </si>
  <si>
    <t>2014 Board Approved vs 2014 Actual</t>
  </si>
  <si>
    <t>Customers/Connections</t>
  </si>
  <si>
    <t>Units</t>
  </si>
  <si>
    <t>Volume</t>
  </si>
  <si>
    <t>Annual Usage per Customer/Connection</t>
  </si>
  <si>
    <t>Weather Normal Conversion Factor</t>
  </si>
  <si>
    <t>Annual Usage per Customer/Connection (WN)</t>
  </si>
  <si>
    <t>Volume - (WN)</t>
  </si>
  <si>
    <t>Volumes kWh/kW</t>
  </si>
  <si>
    <t>Count</t>
  </si>
  <si>
    <t>%</t>
  </si>
  <si>
    <t>2015 Actual</t>
  </si>
  <si>
    <t>2015 Actual vs 2014 Actual</t>
  </si>
  <si>
    <t>2016 Actual</t>
  </si>
  <si>
    <t>2017 Actual</t>
  </si>
  <si>
    <t>2018 Actual</t>
  </si>
  <si>
    <t>2019 Actual</t>
  </si>
  <si>
    <t>Connection Count</t>
  </si>
  <si>
    <t>Street Lights (conn)</t>
  </si>
  <si>
    <t>Sentinel Lights (conn)</t>
  </si>
  <si>
    <t>USL (conn)</t>
  </si>
  <si>
    <t>2024 Test Year</t>
  </si>
  <si>
    <t># of Customers</t>
  </si>
  <si>
    <t>Actual Purchased Energy (GWh)</t>
  </si>
  <si>
    <t>Predicted Purchased Energy (GWh)</t>
  </si>
  <si>
    <t>Predicted Weather Normal</t>
  </si>
  <si>
    <t>Actual Weather Normal</t>
  </si>
  <si>
    <t>Weather Sensitivity</t>
  </si>
  <si>
    <t>2023 Bridge Non-WN Billed Energy Forecast</t>
  </si>
  <si>
    <t>2023 Bridge WN Adjustment</t>
  </si>
  <si>
    <t>2023 Bridge WN Billed Energy Forecast</t>
  </si>
  <si>
    <t>2024 Test Non-WN Billed Energy Forecast</t>
  </si>
  <si>
    <t>2024 Test WN Adjustment</t>
  </si>
  <si>
    <t>2024 Test WN Billed Energy Forecast</t>
  </si>
  <si>
    <t>Distribution-no SLFL</t>
  </si>
  <si>
    <t>Table 3-4</t>
  </si>
  <si>
    <t>Table 3-6</t>
  </si>
  <si>
    <t>3-8</t>
  </si>
  <si>
    <t>Table 1-3</t>
  </si>
  <si>
    <t>2024 Test MIFRS</t>
  </si>
  <si>
    <t>Table 1-4</t>
  </si>
  <si>
    <t>2024 Forecast without losses, Metered</t>
  </si>
  <si>
    <t>no losses</t>
  </si>
  <si>
    <t>Subdivision Connections</t>
  </si>
  <si>
    <t>Using Geomean</t>
  </si>
  <si>
    <t>Using Connections</t>
  </si>
  <si>
    <t>Percent Growth</t>
  </si>
  <si>
    <t>Growth Rate</t>
  </si>
  <si>
    <t>2023 Average</t>
  </si>
  <si>
    <t>2023 Growth Rate</t>
  </si>
  <si>
    <t>2014-2023 Geomean</t>
  </si>
  <si>
    <t>2024 Customers</t>
  </si>
  <si>
    <t>Actual 2023 Number of Customers</t>
  </si>
  <si>
    <t>Month</t>
  </si>
  <si>
    <t>Actual number of customers to Dec 2023</t>
  </si>
  <si>
    <t>Originally</t>
  </si>
  <si>
    <t>Interrogatories</t>
  </si>
  <si>
    <t>Original application</t>
  </si>
  <si>
    <t>2023 YTD</t>
  </si>
  <si>
    <t>Changed in IRs to include 2014 to 2023</t>
  </si>
  <si>
    <t>Oct 2022 to Sept 2023</t>
  </si>
  <si>
    <t>3-Staff-23</t>
  </si>
  <si>
    <t>Usage per Customer</t>
  </si>
  <si>
    <t>Revised Load Forecast</t>
  </si>
  <si>
    <t>Scenario</t>
  </si>
  <si>
    <t>2024 Load</t>
  </si>
  <si>
    <t>kWh Billed</t>
  </si>
  <si>
    <t>Oct 2022 to Sept 2023 Average</t>
  </si>
  <si>
    <t>covid-19b</t>
  </si>
  <si>
    <t>covid-19a</t>
  </si>
  <si>
    <t>3-Staff-22 covid scenario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</si>
</sst>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"/>
    <numFmt numFmtId="166" formatCode="#,##0;\(#,##0\)"/>
    <numFmt numFmtId="167" formatCode="0.0000"/>
    <numFmt numFmtId="168" formatCode="#,##0.0000"/>
    <numFmt numFmtId="169" formatCode="0.0000%"/>
    <numFmt numFmtId="170" formatCode="_(* #,##0_);_(* \(#,##0\);_(* &quot;-&quot;??_);_(@_)"/>
    <numFmt numFmtId="171" formatCode="_(* #,##0.0_);_(* \(#,##0.0\);_(* &quot;-&quot;??_);_(@_)"/>
    <numFmt numFmtId="172" formatCode="#,##0.0"/>
    <numFmt numFmtId="173" formatCode="mm/dd/yyyy"/>
    <numFmt numFmtId="174" formatCode="0\-0"/>
    <numFmt numFmtId="175" formatCode="##\-#"/>
    <numFmt numFmtId="176" formatCode="&quot;£ &quot;#,##0.00;[Red]\-&quot;£ &quot;#,##0.00"/>
    <numFmt numFmtId="177" formatCode="#,##0.0;\-#,##0.0"/>
    <numFmt numFmtId="178" formatCode="_-&quot;$&quot;* #,##0.00_-;\-&quot;$&quot;* #,##0.00_-;_-&quot;$&quot;* &quot;-&quot;??_-;_-@_-"/>
    <numFmt numFmtId="179" formatCode="_-* #,##0.00_-;\-* #,##0.00_-;_-* &quot;-&quot;??_-;_-@_-"/>
    <numFmt numFmtId="180" formatCode="#,##0.0_);\(#,##0.0\)"/>
    <numFmt numFmtId="181" formatCode="0.0%;\(0.0%\)"/>
    <numFmt numFmtId="182" formatCode="0.000000"/>
    <numFmt numFmtId="183" formatCode="0.0000000000"/>
  </numFmts>
  <fonts count="7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b/>
      <sz val="18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b/>
      <i/>
      <u/>
      <sz val="12"/>
      <color rgb="FF000000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3"/>
      <name val="Arial"/>
      <family val="2"/>
    </font>
    <font>
      <sz val="10"/>
      <color theme="3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639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24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5" borderId="1" applyNumberFormat="0" applyProtection="0">
      <alignment horizontal="left" vertical="center"/>
    </xf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6" fillId="0" borderId="0"/>
    <xf numFmtId="172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3" fontId="6" fillId="0" borderId="0"/>
    <xf numFmtId="174" fontId="6" fillId="0" borderId="0"/>
    <xf numFmtId="173" fontId="6" fillId="0" borderId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30" fillId="16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28" borderId="0" applyNumberFormat="0" applyBorder="0" applyAlignment="0" applyProtection="0"/>
    <xf numFmtId="0" fontId="30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0" applyNumberFormat="0" applyBorder="0" applyAlignment="0" applyProtection="0"/>
    <xf numFmtId="0" fontId="30" fillId="17" borderId="0" applyNumberFormat="0" applyBorder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9" borderId="0" applyNumberFormat="0" applyBorder="0" applyAlignment="0" applyProtection="0"/>
    <xf numFmtId="0" fontId="30" fillId="33" borderId="0" applyNumberFormat="0" applyBorder="0" applyAlignment="0" applyProtection="0"/>
    <xf numFmtId="0" fontId="21" fillId="7" borderId="0" applyNumberFormat="0" applyBorder="0" applyAlignment="0" applyProtection="0"/>
    <xf numFmtId="0" fontId="25" fillId="10" borderId="14" applyNumberFormat="0" applyAlignment="0" applyProtection="0"/>
    <xf numFmtId="0" fontId="27" fillId="11" borderId="17" applyNumberFormat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0" fillId="6" borderId="0" applyNumberFormat="0" applyBorder="0" applyAlignment="0" applyProtection="0"/>
    <xf numFmtId="38" fontId="12" fillId="37" borderId="0" applyNumberFormat="0" applyBorder="0" applyAlignment="0" applyProtection="0"/>
    <xf numFmtId="38" fontId="12" fillId="37" borderId="0" applyNumberFormat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10" fontId="12" fillId="38" borderId="1" applyNumberFormat="0" applyBorder="0" applyAlignment="0" applyProtection="0"/>
    <xf numFmtId="10" fontId="12" fillId="38" borderId="1" applyNumberFormat="0" applyBorder="0" applyAlignment="0" applyProtection="0"/>
    <xf numFmtId="0" fontId="23" fillId="9" borderId="14" applyNumberFormat="0" applyAlignment="0" applyProtection="0"/>
    <xf numFmtId="0" fontId="26" fillId="0" borderId="16" applyNumberFormat="0" applyFill="0" applyAlignment="0" applyProtection="0"/>
    <xf numFmtId="175" fontId="6" fillId="0" borderId="0"/>
    <xf numFmtId="170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0" fontId="22" fillId="8" borderId="0" applyNumberFormat="0" applyBorder="0" applyAlignment="0" applyProtection="0"/>
    <xf numFmtId="176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12" borderId="18" applyNumberFormat="0" applyFont="0" applyAlignment="0" applyProtection="0"/>
    <xf numFmtId="0" fontId="24" fillId="10" borderId="15" applyNumberFormat="0" applyAlignment="0" applyProtection="0"/>
    <xf numFmtId="10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1" fillId="0" borderId="0" applyNumberFormat="0" applyBorder="0" applyAlignment="0"/>
    <xf numFmtId="0" fontId="32" fillId="0" borderId="0" applyNumberFormat="0" applyBorder="0" applyAlignment="0"/>
    <xf numFmtId="0" fontId="33" fillId="0" borderId="0" applyNumberFormat="0" applyBorder="0" applyAlignment="0"/>
    <xf numFmtId="0" fontId="34" fillId="0" borderId="20">
      <alignment horizontal="center" vertical="center"/>
    </xf>
    <xf numFmtId="0" fontId="16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179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78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9" fontId="1" fillId="0" borderId="0" applyFont="0" applyFill="0" applyBorder="0" applyAlignment="0" applyProtection="0"/>
    <xf numFmtId="178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5" borderId="1" applyNumberFormat="0" applyProtection="0">
      <alignment horizontal="left" vertical="center"/>
    </xf>
    <xf numFmtId="0" fontId="6" fillId="5" borderId="1" applyNumberFormat="0" applyProtection="0">
      <alignment horizontal="left" vertical="center"/>
    </xf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5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/>
    <xf numFmtId="179" fontId="35" fillId="0" borderId="0" applyFont="0" applyFill="0" applyBorder="0" applyAlignment="0" applyProtection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4" borderId="0" applyNumberFormat="0" applyBorder="0" applyAlignment="0" applyProtection="0"/>
    <xf numFmtId="0" fontId="39" fillId="47" borderId="0" applyNumberFormat="0" applyBorder="0" applyAlignment="0" applyProtection="0"/>
    <xf numFmtId="0" fontId="39" fillId="50" borderId="0" applyNumberFormat="0" applyBorder="0" applyAlignment="0" applyProtection="0"/>
    <xf numFmtId="0" fontId="58" fillId="51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2" borderId="0" applyNumberFormat="0" applyBorder="0" applyAlignment="0" applyProtection="0"/>
    <xf numFmtId="0" fontId="58" fillId="53" borderId="0" applyNumberFormat="0" applyBorder="0" applyAlignment="0" applyProtection="0"/>
    <xf numFmtId="0" fontId="58" fillId="54" borderId="0" applyNumberFormat="0" applyBorder="0" applyAlignment="0" applyProtection="0"/>
    <xf numFmtId="0" fontId="58" fillId="55" borderId="0" applyNumberFormat="0" applyBorder="0" applyAlignment="0" applyProtection="0"/>
    <xf numFmtId="0" fontId="58" fillId="56" borderId="0" applyNumberFormat="0" applyBorder="0" applyAlignment="0" applyProtection="0"/>
    <xf numFmtId="0" fontId="58" fillId="57" borderId="0" applyNumberFormat="0" applyBorder="0" applyAlignment="0" applyProtection="0"/>
    <xf numFmtId="0" fontId="60" fillId="59" borderId="21" applyNumberFormat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69" fillId="61" borderId="0" applyNumberFormat="0" applyBorder="0" applyAlignment="0" applyProtection="0"/>
    <xf numFmtId="0" fontId="71" fillId="0" borderId="0" applyNumberFormat="0" applyFill="0" applyBorder="0" applyAlignment="0" applyProtection="0"/>
    <xf numFmtId="0" fontId="72" fillId="0" borderId="29" applyNumberFormat="0" applyFill="0" applyAlignment="0" applyProtection="0"/>
    <xf numFmtId="0" fontId="73" fillId="0" borderId="0" applyNumberFormat="0" applyFill="0" applyBorder="0" applyAlignment="0" applyProtection="0"/>
    <xf numFmtId="0" fontId="6" fillId="0" borderId="0"/>
    <xf numFmtId="0" fontId="18" fillId="0" borderId="12" applyNumberFormat="0" applyFill="0" applyAlignment="0" applyProtection="0"/>
    <xf numFmtId="0" fontId="17" fillId="0" borderId="11" applyNumberFormat="0" applyFill="0" applyAlignment="0" applyProtection="0"/>
    <xf numFmtId="0" fontId="1" fillId="0" borderId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14" applyNumberFormat="0" applyAlignment="0" applyProtection="0"/>
    <xf numFmtId="0" fontId="24" fillId="10" borderId="15" applyNumberFormat="0" applyAlignment="0" applyProtection="0"/>
    <xf numFmtId="0" fontId="25" fillId="10" borderId="14" applyNumberFormat="0" applyAlignment="0" applyProtection="0"/>
    <xf numFmtId="0" fontId="26" fillId="0" borderId="16" applyNumberFormat="0" applyFill="0" applyAlignment="0" applyProtection="0"/>
    <xf numFmtId="0" fontId="27" fillId="11" borderId="17" applyNumberFormat="0" applyAlignment="0" applyProtection="0"/>
    <xf numFmtId="0" fontId="28" fillId="0" borderId="0" applyNumberFormat="0" applyFill="0" applyBorder="0" applyAlignment="0" applyProtection="0"/>
    <xf numFmtId="0" fontId="1" fillId="12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3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0" fillId="36" borderId="0" applyNumberFormat="0" applyBorder="0" applyAlignment="0" applyProtection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1" fillId="0" borderId="0"/>
    <xf numFmtId="0" fontId="1" fillId="0" borderId="0"/>
    <xf numFmtId="0" fontId="70" fillId="59" borderId="28" applyNumberFormat="0" applyAlignment="0" applyProtection="0"/>
    <xf numFmtId="0" fontId="61" fillId="60" borderId="22" applyNumberFormat="0" applyAlignment="0" applyProtection="0"/>
    <xf numFmtId="0" fontId="67" fillId="46" borderId="21" applyNumberFormat="0" applyAlignment="0" applyProtection="0"/>
    <xf numFmtId="0" fontId="6" fillId="62" borderId="27" applyNumberFormat="0" applyFont="0" applyAlignment="0" applyProtection="0"/>
    <xf numFmtId="0" fontId="63" fillId="43" borderId="0" applyNumberFormat="0" applyBorder="0" applyAlignment="0" applyProtection="0"/>
    <xf numFmtId="0" fontId="59" fillId="42" borderId="0" applyNumberFormat="0" applyBorder="0" applyAlignment="0" applyProtection="0"/>
    <xf numFmtId="0" fontId="66" fillId="0" borderId="25" applyNumberFormat="0" applyFill="0" applyAlignment="0" applyProtection="0"/>
    <xf numFmtId="0" fontId="65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4" fillId="0" borderId="23" applyNumberFormat="0" applyFill="0" applyAlignment="0" applyProtection="0"/>
    <xf numFmtId="0" fontId="56" fillId="0" borderId="0" applyNumberForma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58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58" fillId="58" borderId="0" applyNumberFormat="0" applyBorder="0" applyAlignment="0" applyProtection="0"/>
    <xf numFmtId="0" fontId="58" fillId="52" borderId="0" applyNumberFormat="0" applyBorder="0" applyAlignment="0" applyProtection="0"/>
    <xf numFmtId="17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5" fillId="0" borderId="0"/>
    <xf numFmtId="0" fontId="68" fillId="0" borderId="26" applyNumberFormat="0" applyFill="0" applyAlignment="0" applyProtection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6" fillId="0" borderId="0" applyNumberForma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7" fillId="46" borderId="21" applyNumberFormat="0" applyAlignment="0" applyProtection="0"/>
    <xf numFmtId="0" fontId="67" fillId="46" borderId="21" applyNumberFormat="0" applyAlignment="0" applyProtection="0"/>
    <xf numFmtId="0" fontId="67" fillId="46" borderId="2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7" fillId="46" borderId="21" applyNumberFormat="0" applyAlignment="0" applyProtection="0"/>
    <xf numFmtId="0" fontId="6" fillId="0" borderId="0"/>
    <xf numFmtId="0" fontId="35" fillId="0" borderId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" fillId="0" borderId="0"/>
    <xf numFmtId="0" fontId="6" fillId="0" borderId="0"/>
    <xf numFmtId="9" fontId="35" fillId="0" borderId="0" applyFont="0" applyFill="0" applyBorder="0" applyAlignment="0" applyProtection="0"/>
    <xf numFmtId="0" fontId="35" fillId="0" borderId="0"/>
    <xf numFmtId="9" fontId="6" fillId="0" borderId="0" applyFont="0" applyFill="0" applyBorder="0" applyAlignment="0" applyProtection="0"/>
    <xf numFmtId="0" fontId="6" fillId="0" borderId="0"/>
    <xf numFmtId="9" fontId="35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1" fillId="0" borderId="0"/>
    <xf numFmtId="178" fontId="3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1" fillId="0" borderId="0"/>
    <xf numFmtId="0" fontId="35" fillId="0" borderId="0"/>
    <xf numFmtId="179" fontId="35" fillId="0" borderId="0" applyFont="0" applyFill="0" applyBorder="0" applyAlignment="0" applyProtection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" fillId="0" borderId="0"/>
    <xf numFmtId="0" fontId="56" fillId="0" borderId="0" applyNumberFormat="0" applyFill="0" applyBorder="0" applyAlignment="0" applyProtection="0"/>
  </cellStyleXfs>
  <cellXfs count="260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8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 wrapText="1"/>
    </xf>
    <xf numFmtId="3" fontId="8" fillId="0" borderId="0" xfId="0" applyNumberFormat="1" applyFont="1" applyAlignment="1">
      <alignment horizontal="center" wrapText="1"/>
    </xf>
    <xf numFmtId="37" fontId="7" fillId="0" borderId="0" xfId="0" applyNumberFormat="1" applyFont="1" applyAlignment="1">
      <alignment horizontal="center"/>
    </xf>
    <xf numFmtId="3" fontId="6" fillId="0" borderId="0" xfId="1" applyNumberFormat="1" applyAlignment="1">
      <alignment horizontal="center"/>
    </xf>
    <xf numFmtId="164" fontId="7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/>
    <xf numFmtId="3" fontId="0" fillId="2" borderId="0" xfId="0" applyNumberFormat="1" applyFill="1" applyAlignment="1">
      <alignment horizontal="center"/>
    </xf>
    <xf numFmtId="17" fontId="9" fillId="0" borderId="0" xfId="0" applyNumberFormat="1" applyFont="1"/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3" fontId="7" fillId="2" borderId="1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7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9" fillId="0" borderId="0" xfId="0" applyNumberFormat="1" applyFont="1"/>
    <xf numFmtId="0" fontId="10" fillId="0" borderId="0" xfId="0" applyFont="1"/>
    <xf numFmtId="164" fontId="0" fillId="0" borderId="0" xfId="0" applyNumberFormat="1" applyAlignment="1">
      <alignment horizontal="center" wrapText="1"/>
    </xf>
    <xf numFmtId="0" fontId="9" fillId="0" borderId="0" xfId="0" applyFont="1" applyAlignment="1">
      <alignment horizontal="center" wrapText="1"/>
    </xf>
    <xf numFmtId="3" fontId="8" fillId="3" borderId="0" xfId="0" applyNumberFormat="1" applyFont="1" applyFill="1" applyAlignment="1">
      <alignment horizontal="center"/>
    </xf>
    <xf numFmtId="3" fontId="7" fillId="3" borderId="0" xfId="0" applyNumberFormat="1" applyFont="1" applyFill="1" applyAlignment="1">
      <alignment horizontal="center" wrapText="1"/>
    </xf>
    <xf numFmtId="3" fontId="8" fillId="3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70" fontId="0" fillId="0" borderId="0" xfId="1" applyNumberFormat="1" applyFont="1" applyAlignment="1">
      <alignment horizontal="center"/>
    </xf>
    <xf numFmtId="3" fontId="0" fillId="0" borderId="0" xfId="0" applyNumberFormat="1"/>
    <xf numFmtId="170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7" fillId="4" borderId="1" xfId="0" applyNumberFormat="1" applyFont="1" applyFill="1" applyBorder="1" applyAlignment="1">
      <alignment horizontal="center"/>
    </xf>
    <xf numFmtId="3" fontId="13" fillId="0" borderId="0" xfId="0" applyNumberFormat="1" applyFont="1" applyAlignment="1">
      <alignment horizontal="left"/>
    </xf>
    <xf numFmtId="164" fontId="0" fillId="0" borderId="0" xfId="2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38" fontId="0" fillId="0" borderId="0" xfId="0" applyNumberFormat="1" applyAlignment="1">
      <alignment horizontal="center"/>
    </xf>
    <xf numFmtId="1" fontId="0" fillId="0" borderId="0" xfId="0" applyNumberFormat="1"/>
    <xf numFmtId="1" fontId="0" fillId="0" borderId="0" xfId="0" applyNumberFormat="1" applyAlignment="1">
      <alignment horizontal="center"/>
    </xf>
    <xf numFmtId="3" fontId="6" fillId="3" borderId="0" xfId="0" applyNumberFormat="1" applyFont="1" applyFill="1" applyAlignment="1">
      <alignment horizontal="center" wrapText="1"/>
    </xf>
    <xf numFmtId="17" fontId="0" fillId="0" borderId="1" xfId="0" applyNumberFormat="1" applyBorder="1" applyAlignment="1">
      <alignment horizontal="left"/>
    </xf>
    <xf numFmtId="37" fontId="7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77" fontId="7" fillId="0" borderId="1" xfId="0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170" fontId="0" fillId="0" borderId="0" xfId="0" applyNumberFormat="1"/>
    <xf numFmtId="0" fontId="0" fillId="0" borderId="1" xfId="0" applyBorder="1" applyAlignment="1">
      <alignment horizontal="left"/>
    </xf>
    <xf numFmtId="3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4" fontId="8" fillId="0" borderId="1" xfId="0" applyNumberFormat="1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9" fontId="6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6" fillId="0" borderId="0" xfId="0" quotePrefix="1" applyFont="1" applyAlignment="1">
      <alignment horizontal="center"/>
    </xf>
    <xf numFmtId="0" fontId="6" fillId="0" borderId="0" xfId="0" applyFont="1" applyAlignment="1">
      <alignment horizontal="center"/>
    </xf>
    <xf numFmtId="169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2" fontId="6" fillId="0" borderId="1" xfId="482" applyNumberFormat="1" applyFont="1" applyFill="1" applyBorder="1" applyAlignment="1">
      <alignment horizontal="center"/>
    </xf>
    <xf numFmtId="0" fontId="40" fillId="0" borderId="0" xfId="0" applyFont="1" applyAlignment="1" applyProtection="1">
      <alignment horizontal="left"/>
      <protection locked="0"/>
    </xf>
    <xf numFmtId="1" fontId="6" fillId="0" borderId="1" xfId="0" applyNumberFormat="1" applyFont="1" applyBorder="1" applyAlignment="1" applyProtection="1">
      <alignment horizontal="center" wrapText="1"/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/>
      <protection locked="0"/>
    </xf>
    <xf numFmtId="1" fontId="44" fillId="63" borderId="1" xfId="0" quotePrefix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38" fillId="0" borderId="0" xfId="0" applyFont="1" applyAlignment="1" applyProtection="1">
      <alignment horizontal="left"/>
      <protection locked="0"/>
    </xf>
    <xf numFmtId="0" fontId="38" fillId="0" borderId="0" xfId="0" applyFont="1" applyAlignment="1">
      <alignment horizontal="left"/>
    </xf>
    <xf numFmtId="0" fontId="55" fillId="0" borderId="0" xfId="0" applyFont="1" applyAlignment="1">
      <alignment horizontal="left" vertical="center"/>
    </xf>
    <xf numFmtId="0" fontId="6" fillId="0" borderId="0" xfId="0" applyFont="1" applyProtection="1">
      <protection locked="0"/>
    </xf>
    <xf numFmtId="3" fontId="6" fillId="0" borderId="10" xfId="482" applyNumberFormat="1" applyFont="1" applyFill="1" applyBorder="1" applyAlignment="1">
      <alignment horizontal="center" vertical="center"/>
    </xf>
    <xf numFmtId="168" fontId="0" fillId="40" borderId="0" xfId="0" applyNumberFormat="1" applyFill="1" applyAlignment="1">
      <alignment horizontal="center"/>
    </xf>
    <xf numFmtId="1" fontId="9" fillId="64" borderId="1" xfId="0" applyNumberFormat="1" applyFont="1" applyFill="1" applyBorder="1" applyAlignment="1">
      <alignment horizontal="center"/>
    </xf>
    <xf numFmtId="2" fontId="9" fillId="64" borderId="1" xfId="482" applyNumberFormat="1" applyFont="1" applyFill="1" applyBorder="1" applyAlignment="1">
      <alignment horizontal="center"/>
    </xf>
    <xf numFmtId="1" fontId="9" fillId="64" borderId="1" xfId="482" applyNumberFormat="1" applyFont="1" applyFill="1" applyBorder="1" applyAlignment="1">
      <alignment horizontal="center"/>
    </xf>
    <xf numFmtId="3" fontId="6" fillId="0" borderId="1" xfId="482" applyNumberFormat="1" applyFont="1" applyFill="1" applyBorder="1" applyAlignment="1">
      <alignment horizontal="center"/>
    </xf>
    <xf numFmtId="3" fontId="9" fillId="64" borderId="1" xfId="0" applyNumberFormat="1" applyFont="1" applyFill="1" applyBorder="1" applyAlignment="1">
      <alignment horizontal="center"/>
    </xf>
    <xf numFmtId="0" fontId="8" fillId="0" borderId="9" xfId="0" applyFont="1" applyBorder="1" applyAlignment="1">
      <alignment horizontal="center" wrapText="1"/>
    </xf>
    <xf numFmtId="0" fontId="0" fillId="0" borderId="2" xfId="0" applyBorder="1"/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Continuous"/>
    </xf>
    <xf numFmtId="0" fontId="0" fillId="4" borderId="0" xfId="0" applyFill="1" applyAlignment="1">
      <alignment horizontal="center"/>
    </xf>
    <xf numFmtId="180" fontId="7" fillId="0" borderId="1" xfId="0" applyNumberFormat="1" applyFont="1" applyBorder="1" applyAlignment="1">
      <alignment horizontal="center"/>
    </xf>
    <xf numFmtId="1" fontId="44" fillId="63" borderId="8" xfId="0" quotePrefix="1" applyNumberFormat="1" applyFont="1" applyFill="1" applyBorder="1" applyAlignment="1">
      <alignment horizontal="center" vertical="center" wrapText="1"/>
    </xf>
    <xf numFmtId="1" fontId="44" fillId="63" borderId="6" xfId="0" quotePrefix="1" applyNumberFormat="1" applyFont="1" applyFill="1" applyBorder="1" applyAlignment="1">
      <alignment horizontal="center" vertical="center" wrapText="1"/>
    </xf>
    <xf numFmtId="4" fontId="8" fillId="0" borderId="9" xfId="0" applyNumberFormat="1" applyFont="1" applyBorder="1" applyAlignment="1">
      <alignment horizontal="center" wrapText="1"/>
    </xf>
    <xf numFmtId="170" fontId="0" fillId="0" borderId="0" xfId="1" applyNumberFormat="1" applyFont="1"/>
    <xf numFmtId="170" fontId="8" fillId="0" borderId="9" xfId="1" applyNumberFormat="1" applyFont="1" applyBorder="1" applyAlignment="1">
      <alignment horizontal="center" wrapText="1"/>
    </xf>
    <xf numFmtId="37" fontId="6" fillId="0" borderId="1" xfId="482" applyNumberFormat="1" applyFont="1" applyFill="1" applyBorder="1" applyAlignment="1">
      <alignment horizontal="center"/>
    </xf>
    <xf numFmtId="181" fontId="6" fillId="0" borderId="1" xfId="2" applyNumberFormat="1" applyFont="1" applyFill="1" applyBorder="1" applyAlignment="1">
      <alignment horizontal="center"/>
    </xf>
    <xf numFmtId="1" fontId="44" fillId="63" borderId="5" xfId="0" applyNumberFormat="1" applyFont="1" applyFill="1" applyBorder="1" applyAlignment="1">
      <alignment horizontal="center" vertical="center" wrapText="1"/>
    </xf>
    <xf numFmtId="12" fontId="0" fillId="0" borderId="0" xfId="0" applyNumberFormat="1"/>
    <xf numFmtId="12" fontId="8" fillId="0" borderId="1" xfId="0" applyNumberFormat="1" applyFont="1" applyBorder="1" applyAlignment="1">
      <alignment wrapText="1"/>
    </xf>
    <xf numFmtId="12" fontId="7" fillId="0" borderId="1" xfId="0" applyNumberFormat="1" applyFont="1" applyBorder="1"/>
    <xf numFmtId="12" fontId="7" fillId="0" borderId="0" xfId="0" applyNumberFormat="1" applyFont="1"/>
    <xf numFmtId="9" fontId="0" fillId="0" borderId="0" xfId="2" applyFont="1" applyAlignment="1">
      <alignment horizontal="center"/>
    </xf>
    <xf numFmtId="3" fontId="6" fillId="0" borderId="0" xfId="0" applyNumberFormat="1" applyFont="1" applyAlignment="1">
      <alignment horizontal="center"/>
    </xf>
    <xf numFmtId="10" fontId="0" fillId="3" borderId="0" xfId="0" applyNumberFormat="1" applyFill="1" applyAlignment="1">
      <alignment horizontal="center"/>
    </xf>
    <xf numFmtId="0" fontId="8" fillId="4" borderId="9" xfId="0" applyFont="1" applyFill="1" applyBorder="1" applyAlignment="1">
      <alignment horizontal="center" wrapText="1"/>
    </xf>
    <xf numFmtId="12" fontId="6" fillId="0" borderId="10" xfId="482" applyNumberFormat="1" applyFont="1" applyFill="1" applyBorder="1" applyAlignment="1">
      <alignment horizontal="center" vertical="center"/>
    </xf>
    <xf numFmtId="164" fontId="0" fillId="0" borderId="0" xfId="2" applyNumberFormat="1" applyFont="1"/>
    <xf numFmtId="43" fontId="0" fillId="0" borderId="0" xfId="1" applyFont="1"/>
    <xf numFmtId="43" fontId="0" fillId="0" borderId="2" xfId="1" applyFont="1" applyBorder="1"/>
    <xf numFmtId="2" fontId="6" fillId="0" borderId="0" xfId="0" applyNumberFormat="1" applyFont="1"/>
    <xf numFmtId="43" fontId="0" fillId="0" borderId="30" xfId="1" applyFont="1" applyBorder="1"/>
    <xf numFmtId="43" fontId="0" fillId="0" borderId="0" xfId="0" applyNumberFormat="1"/>
    <xf numFmtId="43" fontId="6" fillId="0" borderId="0" xfId="0" applyNumberFormat="1" applyFont="1"/>
    <xf numFmtId="43" fontId="0" fillId="0" borderId="0" xfId="1" applyFont="1" applyFill="1" applyBorder="1"/>
    <xf numFmtId="182" fontId="0" fillId="0" borderId="0" xfId="0" applyNumberFormat="1"/>
    <xf numFmtId="43" fontId="6" fillId="0" borderId="0" xfId="1" applyFont="1" applyFill="1" applyAlignment="1">
      <alignment horizontal="center"/>
    </xf>
    <xf numFmtId="181" fontId="9" fillId="0" borderId="1" xfId="2" applyNumberFormat="1" applyFont="1" applyFill="1" applyBorder="1" applyAlignment="1">
      <alignment horizontal="center"/>
    </xf>
    <xf numFmtId="181" fontId="9" fillId="64" borderId="1" xfId="2" applyNumberFormat="1" applyFont="1" applyFill="1" applyBorder="1" applyAlignment="1">
      <alignment horizontal="center"/>
    </xf>
    <xf numFmtId="171" fontId="0" fillId="0" borderId="0" xfId="1" applyNumberFormat="1" applyFont="1"/>
    <xf numFmtId="4" fontId="9" fillId="64" borderId="1" xfId="0" applyNumberFormat="1" applyFont="1" applyFill="1" applyBorder="1" applyAlignment="1">
      <alignment horizontal="center"/>
    </xf>
    <xf numFmtId="12" fontId="9" fillId="65" borderId="10" xfId="482" applyNumberFormat="1" applyFont="1" applyFill="1" applyBorder="1" applyAlignment="1">
      <alignment horizontal="center" vertical="center"/>
    </xf>
    <xf numFmtId="9" fontId="6" fillId="0" borderId="1" xfId="2" applyFont="1" applyBorder="1" applyAlignment="1" applyProtection="1">
      <alignment horizontal="center"/>
      <protection locked="0"/>
    </xf>
    <xf numFmtId="43" fontId="6" fillId="0" borderId="1" xfId="1" applyFont="1" applyBorder="1" applyAlignment="1" applyProtection="1">
      <alignment horizontal="center"/>
      <protection locked="0"/>
    </xf>
    <xf numFmtId="170" fontId="6" fillId="0" borderId="1" xfId="1" applyNumberFormat="1" applyFont="1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left"/>
      <protection locked="0"/>
    </xf>
    <xf numFmtId="43" fontId="6" fillId="0" borderId="1" xfId="1" applyFont="1" applyBorder="1" applyAlignment="1" applyProtection="1">
      <alignment horizontal="left"/>
      <protection locked="0"/>
    </xf>
    <xf numFmtId="170" fontId="6" fillId="0" borderId="1" xfId="1" applyNumberFormat="1" applyFont="1" applyBorder="1" applyAlignment="1" applyProtection="1">
      <alignment horizontal="left"/>
      <protection locked="0"/>
    </xf>
    <xf numFmtId="3" fontId="6" fillId="66" borderId="1" xfId="482" applyNumberFormat="1" applyFont="1" applyFill="1" applyBorder="1" applyAlignment="1">
      <alignment horizontal="center"/>
    </xf>
    <xf numFmtId="10" fontId="6" fillId="0" borderId="1" xfId="2" applyNumberFormat="1" applyFont="1" applyFill="1" applyBorder="1" applyAlignment="1">
      <alignment horizontal="center"/>
    </xf>
    <xf numFmtId="10" fontId="9" fillId="64" borderId="1" xfId="2" applyNumberFormat="1" applyFont="1" applyFill="1" applyBorder="1" applyAlignment="1">
      <alignment horizontal="center"/>
    </xf>
    <xf numFmtId="1" fontId="9" fillId="0" borderId="1" xfId="0" applyNumberFormat="1" applyFont="1" applyBorder="1" applyAlignment="1" applyProtection="1">
      <alignment horizontal="center"/>
      <protection locked="0"/>
    </xf>
    <xf numFmtId="3" fontId="9" fillId="0" borderId="10" xfId="482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0" fillId="0" borderId="1" xfId="0" applyBorder="1"/>
    <xf numFmtId="0" fontId="6" fillId="67" borderId="1" xfId="0" applyFont="1" applyFill="1" applyBorder="1"/>
    <xf numFmtId="0" fontId="0" fillId="67" borderId="1" xfId="0" applyFill="1" applyBorder="1"/>
    <xf numFmtId="3" fontId="0" fillId="67" borderId="1" xfId="0" applyNumberFormat="1" applyFill="1" applyBorder="1" applyAlignment="1">
      <alignment horizontal="center"/>
    </xf>
    <xf numFmtId="37" fontId="6" fillId="67" borderId="1" xfId="482" applyNumberFormat="1" applyFont="1" applyFill="1" applyBorder="1" applyAlignment="1">
      <alignment horizontal="center"/>
    </xf>
    <xf numFmtId="181" fontId="6" fillId="67" borderId="1" xfId="2" applyNumberFormat="1" applyFont="1" applyFill="1" applyBorder="1" applyAlignment="1">
      <alignment horizontal="center"/>
    </xf>
    <xf numFmtId="0" fontId="9" fillId="0" borderId="1" xfId="0" applyFont="1" applyBorder="1"/>
    <xf numFmtId="0" fontId="9" fillId="67" borderId="8" xfId="0" applyFont="1" applyFill="1" applyBorder="1"/>
    <xf numFmtId="0" fontId="0" fillId="67" borderId="10" xfId="0" applyFill="1" applyBorder="1"/>
    <xf numFmtId="0" fontId="9" fillId="0" borderId="8" xfId="0" applyFont="1" applyBorder="1"/>
    <xf numFmtId="0" fontId="0" fillId="0" borderId="9" xfId="0" applyBorder="1"/>
    <xf numFmtId="0" fontId="0" fillId="0" borderId="10" xfId="0" applyBorder="1"/>
    <xf numFmtId="0" fontId="0" fillId="67" borderId="9" xfId="0" applyFill="1" applyBorder="1"/>
    <xf numFmtId="3" fontId="6" fillId="0" borderId="1" xfId="0" applyNumberFormat="1" applyFont="1" applyBorder="1"/>
    <xf numFmtId="0" fontId="44" fillId="63" borderId="31" xfId="0" applyFont="1" applyFill="1" applyBorder="1" applyAlignment="1">
      <alignment horizontal="center" wrapText="1"/>
    </xf>
    <xf numFmtId="0" fontId="0" fillId="68" borderId="0" xfId="0" applyFill="1"/>
    <xf numFmtId="0" fontId="6" fillId="0" borderId="1" xfId="0" applyFont="1" applyBorder="1" applyAlignment="1">
      <alignment horizontal="center"/>
    </xf>
    <xf numFmtId="0" fontId="9" fillId="0" borderId="0" xfId="0" applyFont="1" applyAlignment="1">
      <alignment horizontal="right"/>
    </xf>
    <xf numFmtId="167" fontId="9" fillId="0" borderId="0" xfId="0" applyNumberFormat="1" applyFont="1"/>
    <xf numFmtId="37" fontId="6" fillId="40" borderId="1" xfId="482" applyNumberFormat="1" applyFont="1" applyFill="1" applyBorder="1" applyAlignment="1">
      <alignment horizontal="center"/>
    </xf>
    <xf numFmtId="0" fontId="76" fillId="0" borderId="0" xfId="0" applyFont="1"/>
    <xf numFmtId="0" fontId="77" fillId="0" borderId="0" xfId="0" applyFont="1"/>
    <xf numFmtId="43" fontId="77" fillId="0" borderId="0" xfId="0" applyNumberFormat="1" applyFont="1"/>
    <xf numFmtId="43" fontId="77" fillId="0" borderId="0" xfId="1" applyFont="1"/>
    <xf numFmtId="43" fontId="77" fillId="0" borderId="30" xfId="1" applyFont="1" applyBorder="1"/>
    <xf numFmtId="43" fontId="9" fillId="0" borderId="0" xfId="0" applyNumberFormat="1" applyFont="1"/>
    <xf numFmtId="43" fontId="9" fillId="0" borderId="0" xfId="1" applyFont="1"/>
    <xf numFmtId="170" fontId="0" fillId="0" borderId="1" xfId="0" applyNumberFormat="1" applyBorder="1"/>
    <xf numFmtId="9" fontId="0" fillId="0" borderId="1" xfId="2" applyFont="1" applyBorder="1"/>
    <xf numFmtId="170" fontId="6" fillId="0" borderId="1" xfId="1" applyNumberFormat="1" applyFont="1" applyBorder="1"/>
    <xf numFmtId="0" fontId="0" fillId="0" borderId="34" xfId="0" applyBorder="1" applyAlignment="1">
      <alignment horizontal="center"/>
    </xf>
    <xf numFmtId="171" fontId="0" fillId="0" borderId="34" xfId="1" applyNumberFormat="1" applyFont="1" applyBorder="1"/>
    <xf numFmtId="165" fontId="0" fillId="0" borderId="34" xfId="0" applyNumberFormat="1" applyBorder="1"/>
    <xf numFmtId="181" fontId="6" fillId="0" borderId="34" xfId="2" applyNumberFormat="1" applyFont="1" applyFill="1" applyBorder="1" applyAlignment="1">
      <alignment horizontal="center"/>
    </xf>
    <xf numFmtId="167" fontId="0" fillId="0" borderId="34" xfId="0" applyNumberFormat="1" applyBorder="1"/>
    <xf numFmtId="0" fontId="0" fillId="0" borderId="34" xfId="0" applyBorder="1"/>
    <xf numFmtId="0" fontId="6" fillId="0" borderId="34" xfId="0" applyFont="1" applyBorder="1" applyAlignment="1">
      <alignment horizontal="center"/>
    </xf>
    <xf numFmtId="0" fontId="44" fillId="63" borderId="34" xfId="0" applyFont="1" applyFill="1" applyBorder="1" applyAlignment="1">
      <alignment horizontal="center" wrapText="1"/>
    </xf>
    <xf numFmtId="9" fontId="0" fillId="0" borderId="34" xfId="0" applyNumberFormat="1" applyBorder="1"/>
    <xf numFmtId="43" fontId="0" fillId="0" borderId="34" xfId="1" applyFont="1" applyBorder="1"/>
    <xf numFmtId="43" fontId="0" fillId="0" borderId="34" xfId="0" applyNumberFormat="1" applyBorder="1"/>
    <xf numFmtId="183" fontId="9" fillId="0" borderId="0" xfId="0" applyNumberFormat="1" applyFont="1"/>
    <xf numFmtId="16" fontId="6" fillId="0" borderId="0" xfId="0" quotePrefix="1" applyNumberFormat="1" applyFont="1" applyAlignment="1" applyProtection="1">
      <alignment horizontal="center"/>
      <protection locked="0"/>
    </xf>
    <xf numFmtId="0" fontId="9" fillId="64" borderId="8" xfId="0" applyFont="1" applyFill="1" applyBorder="1"/>
    <xf numFmtId="0" fontId="0" fillId="64" borderId="1" xfId="0" applyFill="1" applyBorder="1"/>
    <xf numFmtId="3" fontId="0" fillId="64" borderId="1" xfId="0" applyNumberFormat="1" applyFill="1" applyBorder="1" applyAlignment="1">
      <alignment horizontal="center"/>
    </xf>
    <xf numFmtId="37" fontId="6" fillId="64" borderId="1" xfId="482" applyNumberFormat="1" applyFont="1" applyFill="1" applyBorder="1" applyAlignment="1">
      <alignment horizontal="center"/>
    </xf>
    <xf numFmtId="181" fontId="6" fillId="64" borderId="1" xfId="2" applyNumberFormat="1" applyFont="1" applyFill="1" applyBorder="1" applyAlignment="1">
      <alignment horizontal="center"/>
    </xf>
    <xf numFmtId="0" fontId="0" fillId="64" borderId="10" xfId="0" applyFill="1" applyBorder="1"/>
    <xf numFmtId="0" fontId="0" fillId="64" borderId="9" xfId="0" applyFill="1" applyBorder="1"/>
    <xf numFmtId="16" fontId="0" fillId="0" borderId="0" xfId="0" applyNumberFormat="1"/>
    <xf numFmtId="1" fontId="44" fillId="63" borderId="34" xfId="0" quotePrefix="1" applyNumberFormat="1" applyFont="1" applyFill="1" applyBorder="1" applyAlignment="1">
      <alignment horizontal="center" vertical="center" wrapText="1"/>
    </xf>
    <xf numFmtId="170" fontId="0" fillId="0" borderId="34" xfId="1" applyNumberFormat="1" applyFont="1" applyBorder="1"/>
    <xf numFmtId="9" fontId="0" fillId="0" borderId="34" xfId="2" applyFont="1" applyBorder="1"/>
    <xf numFmtId="170" fontId="0" fillId="0" borderId="34" xfId="0" applyNumberFormat="1" applyBorder="1"/>
    <xf numFmtId="0" fontId="9" fillId="0" borderId="34" xfId="0" applyFont="1" applyBorder="1"/>
    <xf numFmtId="3" fontId="9" fillId="0" borderId="34" xfId="0" applyNumberFormat="1" applyFont="1" applyBorder="1"/>
    <xf numFmtId="9" fontId="9" fillId="0" borderId="34" xfId="2" applyFont="1" applyBorder="1"/>
    <xf numFmtId="10" fontId="0" fillId="0" borderId="0" xfId="2" applyNumberFormat="1" applyFont="1"/>
    <xf numFmtId="17" fontId="0" fillId="69" borderId="0" xfId="0" applyNumberFormat="1" applyFill="1"/>
    <xf numFmtId="1" fontId="0" fillId="69" borderId="0" xfId="0" applyNumberFormat="1" applyFill="1"/>
    <xf numFmtId="17" fontId="0" fillId="69" borderId="1" xfId="0" applyNumberFormat="1" applyFill="1" applyBorder="1" applyAlignment="1">
      <alignment horizontal="left"/>
    </xf>
    <xf numFmtId="37" fontId="7" fillId="69" borderId="1" xfId="0" applyNumberFormat="1" applyFont="1" applyFill="1" applyBorder="1" applyAlignment="1">
      <alignment horizontal="center"/>
    </xf>
    <xf numFmtId="0" fontId="0" fillId="69" borderId="1" xfId="0" applyFill="1" applyBorder="1" applyAlignment="1">
      <alignment horizontal="center"/>
    </xf>
    <xf numFmtId="177" fontId="7" fillId="69" borderId="1" xfId="0" applyNumberFormat="1" applyFont="1" applyFill="1" applyBorder="1" applyAlignment="1">
      <alignment horizontal="center"/>
    </xf>
    <xf numFmtId="165" fontId="0" fillId="69" borderId="1" xfId="0" applyNumberFormat="1" applyFill="1" applyBorder="1" applyAlignment="1">
      <alignment horizontal="center"/>
    </xf>
    <xf numFmtId="170" fontId="0" fillId="69" borderId="0" xfId="1" applyNumberFormat="1" applyFont="1" applyFill="1"/>
    <xf numFmtId="0" fontId="0" fillId="69" borderId="0" xfId="0" applyFill="1"/>
    <xf numFmtId="3" fontId="0" fillId="0" borderId="34" xfId="0" applyNumberFormat="1" applyBorder="1"/>
    <xf numFmtId="164" fontId="0" fillId="0" borderId="34" xfId="2" applyNumberFormat="1" applyFont="1" applyBorder="1"/>
    <xf numFmtId="170" fontId="0" fillId="0" borderId="0" xfId="1" applyNumberFormat="1" applyFont="1" applyFill="1"/>
    <xf numFmtId="17" fontId="6" fillId="69" borderId="0" xfId="0" applyNumberFormat="1" applyFont="1" applyFill="1"/>
    <xf numFmtId="170" fontId="6" fillId="69" borderId="0" xfId="1" applyNumberFormat="1" applyFont="1" applyFill="1"/>
    <xf numFmtId="3" fontId="0" fillId="69" borderId="0" xfId="0" applyNumberFormat="1" applyFill="1" applyAlignment="1">
      <alignment horizontal="center"/>
    </xf>
    <xf numFmtId="0" fontId="6" fillId="69" borderId="0" xfId="0" applyFont="1" applyFill="1"/>
    <xf numFmtId="168" fontId="0" fillId="69" borderId="0" xfId="0" applyNumberFormat="1" applyFill="1" applyAlignment="1">
      <alignment horizontal="center"/>
    </xf>
    <xf numFmtId="17" fontId="8" fillId="69" borderId="0" xfId="0" applyNumberFormat="1" applyFont="1" applyFill="1" applyAlignment="1">
      <alignment wrapText="1"/>
    </xf>
    <xf numFmtId="3" fontId="8" fillId="69" borderId="0" xfId="0" applyNumberFormat="1" applyFont="1" applyFill="1" applyAlignment="1">
      <alignment wrapText="1"/>
    </xf>
    <xf numFmtId="0" fontId="9" fillId="70" borderId="0" xfId="0" applyFont="1" applyFill="1"/>
    <xf numFmtId="0" fontId="0" fillId="70" borderId="0" xfId="0" applyFill="1" applyAlignment="1">
      <alignment horizontal="center"/>
    </xf>
    <xf numFmtId="3" fontId="0" fillId="70" borderId="0" xfId="0" applyNumberFormat="1" applyFill="1" applyAlignment="1">
      <alignment horizontal="center"/>
    </xf>
    <xf numFmtId="0" fontId="0" fillId="70" borderId="0" xfId="0" applyFill="1"/>
    <xf numFmtId="0" fontId="6" fillId="70" borderId="0" xfId="0" applyFont="1" applyFill="1"/>
    <xf numFmtId="3" fontId="0" fillId="69" borderId="1" xfId="0" applyNumberFormat="1" applyFill="1" applyBorder="1" applyAlignment="1">
      <alignment horizontal="center"/>
    </xf>
    <xf numFmtId="0" fontId="8" fillId="0" borderId="0" xfId="0" applyFont="1" applyAlignment="1">
      <alignment horizontal="center" wrapText="1"/>
    </xf>
    <xf numFmtId="37" fontId="0" fillId="69" borderId="0" xfId="0" applyNumberFormat="1" applyFill="1" applyAlignment="1">
      <alignment horizontal="center"/>
    </xf>
    <xf numFmtId="164" fontId="0" fillId="69" borderId="0" xfId="2" applyNumberFormat="1" applyFont="1" applyFill="1" applyAlignment="1">
      <alignment horizontal="center"/>
    </xf>
    <xf numFmtId="164" fontId="7" fillId="69" borderId="0" xfId="0" applyNumberFormat="1" applyFont="1" applyFill="1" applyAlignment="1">
      <alignment horizontal="center"/>
    </xf>
    <xf numFmtId="169" fontId="0" fillId="69" borderId="0" xfId="2" applyNumberFormat="1" applyFont="1" applyFill="1" applyAlignment="1">
      <alignment horizontal="center"/>
    </xf>
    <xf numFmtId="169" fontId="0" fillId="69" borderId="0" xfId="0" applyNumberFormat="1" applyFill="1" applyAlignment="1">
      <alignment horizontal="center"/>
    </xf>
    <xf numFmtId="3" fontId="11" fillId="70" borderId="0" xfId="0" applyNumberFormat="1" applyFont="1" applyFill="1"/>
    <xf numFmtId="3" fontId="11" fillId="70" borderId="0" xfId="0" applyNumberFormat="1" applyFont="1" applyFill="1" applyAlignment="1">
      <alignment horizontal="center" vertical="top"/>
    </xf>
    <xf numFmtId="164" fontId="11" fillId="70" borderId="0" xfId="2" applyNumberFormat="1" applyFont="1" applyFill="1" applyAlignment="1">
      <alignment horizontal="center" vertical="top"/>
    </xf>
    <xf numFmtId="168" fontId="11" fillId="70" borderId="0" xfId="0" applyNumberFormat="1" applyFont="1" applyFill="1" applyAlignment="1">
      <alignment horizontal="center" vertical="top"/>
    </xf>
    <xf numFmtId="0" fontId="11" fillId="0" borderId="0" xfId="0" applyFont="1"/>
    <xf numFmtId="0" fontId="11" fillId="70" borderId="0" xfId="0" applyFont="1" applyFill="1"/>
    <xf numFmtId="0" fontId="11" fillId="70" borderId="0" xfId="0" applyFont="1" applyFill="1" applyAlignment="1">
      <alignment horizontal="center"/>
    </xf>
    <xf numFmtId="3" fontId="11" fillId="70" borderId="0" xfId="0" applyNumberFormat="1" applyFont="1" applyFill="1" applyAlignment="1">
      <alignment horizontal="center"/>
    </xf>
    <xf numFmtId="169" fontId="0" fillId="70" borderId="0" xfId="2" applyNumberFormat="1" applyFont="1" applyFill="1" applyAlignment="1">
      <alignment horizontal="center"/>
    </xf>
    <xf numFmtId="17" fontId="9" fillId="70" borderId="0" xfId="0" applyNumberFormat="1" applyFont="1" applyFill="1"/>
    <xf numFmtId="9" fontId="0" fillId="70" borderId="0" xfId="0" applyNumberFormat="1" applyFill="1" applyAlignment="1">
      <alignment horizontal="center"/>
    </xf>
    <xf numFmtId="9" fontId="6" fillId="70" borderId="0" xfId="0" applyNumberFormat="1" applyFont="1" applyFill="1" applyAlignment="1">
      <alignment horizontal="center"/>
    </xf>
    <xf numFmtId="10" fontId="0" fillId="70" borderId="0" xfId="0" applyNumberFormat="1" applyFill="1" applyAlignment="1">
      <alignment horizontal="center"/>
    </xf>
    <xf numFmtId="169" fontId="0" fillId="70" borderId="0" xfId="1" applyNumberFormat="1" applyFont="1" applyFill="1" applyAlignment="1">
      <alignment horizontal="center"/>
    </xf>
    <xf numFmtId="170" fontId="0" fillId="70" borderId="0" xfId="1" applyNumberFormat="1" applyFont="1" applyFill="1" applyAlignment="1">
      <alignment horizontal="center"/>
    </xf>
    <xf numFmtId="0" fontId="0" fillId="39" borderId="0" xfId="0" applyFill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1" fontId="44" fillId="63" borderId="32" xfId="0" quotePrefix="1" applyNumberFormat="1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44" fillId="63" borderId="31" xfId="0" applyFont="1" applyFill="1" applyBorder="1" applyAlignment="1">
      <alignment horizontal="center" wrapText="1"/>
    </xf>
    <xf numFmtId="1" fontId="44" fillId="63" borderId="6" xfId="0" quotePrefix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1" fontId="44" fillId="63" borderId="8" xfId="0" quotePrefix="1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8" fillId="0" borderId="34" xfId="0" applyFont="1" applyBorder="1" applyAlignment="1">
      <alignment horizontal="center" wrapText="1"/>
    </xf>
    <xf numFmtId="37" fontId="7" fillId="0" borderId="34" xfId="0" applyNumberFormat="1" applyFont="1" applyBorder="1" applyAlignment="1">
      <alignment horizontal="center"/>
    </xf>
    <xf numFmtId="37" fontId="7" fillId="71" borderId="34" xfId="0" applyNumberFormat="1" applyFont="1" applyFill="1" applyBorder="1" applyAlignment="1">
      <alignment horizontal="center"/>
    </xf>
    <xf numFmtId="0" fontId="0" fillId="0" borderId="0" xfId="0" applyFill="1" applyBorder="1" applyAlignment="1"/>
  </cellXfs>
  <cellStyles count="1524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3" xfId="110" xr:uid="{4A647E3F-96F3-4D22-89D1-F5D064BBDC62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3" xfId="124" xr:uid="{9A2CCDBD-6CEB-439D-8ED1-7C033D7D4909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3" xfId="138" xr:uid="{0A9F25B4-70CA-4082-AB6C-473346FA893F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3" xfId="152" xr:uid="{628FC5C7-725D-4262-97F4-6C2D4880CC12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3" xfId="166" xr:uid="{23D49ADB-2FF4-4148-9B22-B3C738EA11E9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3" xfId="180" xr:uid="{23858E14-2CB1-44A7-B23D-E19C6229B1E9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3" xfId="194" xr:uid="{452896B4-C918-4AB8-BF14-9E16F99BDB5A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3" xfId="208" xr:uid="{AE931783-BF8A-406C-9218-F3BDF4370B32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3" xfId="222" xr:uid="{CA5F1453-1410-43C5-A45C-F86291F2E44F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3" xfId="236" xr:uid="{5FB646AB-A516-4BDF-BFE6-9741474BEB55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3" xfId="250" xr:uid="{F82C0BC5-6E74-4D55-9F8B-18ADB943D5E2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3" xfId="264" xr:uid="{66A8F444-729A-480D-91B8-2A2A0AEADE80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2" xfId="5" xr:uid="{00000000-0005-0000-0000-000025000000}"/>
    <cellStyle name="Comma 2 2" xfId="696" xr:uid="{5C884EC2-A2E8-4501-80D2-1AD62416BE05}"/>
    <cellStyle name="Comma 2 2 2" xfId="695" xr:uid="{45356556-BBB8-4BAC-AD32-6D82C625287D}"/>
    <cellStyle name="Comma 2 3" xfId="734" xr:uid="{27F51AD3-0C7D-4B0F-B4B0-08BB7C60AE6D}"/>
    <cellStyle name="Comma 2 4" xfId="839" xr:uid="{51C41699-2F14-4740-B30A-17757AFCA611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3" xfId="697" xr:uid="{2385347A-A18A-44FB-B93F-BA54E6114382}"/>
    <cellStyle name="Comma 3 2 5" xfId="98" xr:uid="{00000000-0005-0000-0000-000028000000}"/>
    <cellStyle name="Comma 3 3" xfId="841" xr:uid="{6F3B3E26-3FC8-4A18-8614-A92B20C5AF9B}"/>
    <cellStyle name="Comma 3 4" xfId="1013" xr:uid="{93DBB256-1BC0-48FF-9C75-641FCC229582}"/>
    <cellStyle name="Comma 3 5" xfId="483" xr:uid="{F7718869-6A96-4AF3-81D7-69A99B2C7D27}"/>
    <cellStyle name="Comma 4" xfId="13" xr:uid="{00000000-0005-0000-0000-000029000000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3" xfId="690" xr:uid="{9C4D7435-CAEA-4E1C-AF51-D7C33A5A362E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5" xfId="485" xr:uid="{C7B28150-23F3-45C8-963D-555E5B2F35A2}"/>
    <cellStyle name="Currency0" xfId="8" xr:uid="{00000000-0005-0000-0000-000032000000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Input [yellow]" xfId="63" xr:uid="{00000000-0005-0000-0000-00003D000000}"/>
    <cellStyle name="Input [yellow] 2" xfId="64" xr:uid="{00000000-0005-0000-0000-00003E000000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1" xfId="613" xr:uid="{893E931D-4E9C-4905-A23B-BFF0440FB9E0}"/>
    <cellStyle name="Normal 12" xfId="614" xr:uid="{8AE0198E-883C-4F6F-97E3-9C75B3AE60CE}"/>
    <cellStyle name="Normal 13" xfId="615" xr:uid="{643DD5FB-F07D-4293-A038-42E059C88DDB}"/>
    <cellStyle name="Normal 14" xfId="616" xr:uid="{985BC5CD-E9C0-45ED-A7A9-F3178E7A8ACE}"/>
    <cellStyle name="Normal 15" xfId="617" xr:uid="{746CEED5-D31C-4B5E-B01C-999F254D400E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2" xfId="707" xr:uid="{D65206B1-1563-4F4F-BEFA-71E190E67CD7}"/>
    <cellStyle name="Normal 3 3" xfId="708" xr:uid="{9864E9AE-E37B-4FF2-A146-6D85B6CDD8FE}"/>
    <cellStyle name="Normal 3 3 2" xfId="701" xr:uid="{1D66177E-6151-41F7-B2EE-7C5EDFE1CB71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3" xfId="838" xr:uid="{F8577DCA-F3CC-455B-9CE2-FD746A551677}"/>
    <cellStyle name="Normal 4 4" xfId="625" xr:uid="{8D21A86B-11FF-4EC6-BA39-8F59D63C9E59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4" xfId="844" xr:uid="{E5ED4AF3-FB2C-445E-AD98-836387592AA0}"/>
    <cellStyle name="Normal 5 3" xfId="840" xr:uid="{6F900A40-2CC6-4DF6-9E52-39DACFBB9333}"/>
    <cellStyle name="Normal 5 4" xfId="626" xr:uid="{1FAB166A-B1F1-49B7-9742-8EEB87263E54}"/>
    <cellStyle name="Normal 6" xfId="80" xr:uid="{00000000-0005-0000-0000-000053000000}"/>
    <cellStyle name="Normal 6 2" xfId="843" xr:uid="{213AA290-D736-4DDA-A4D4-2EF27A647389}"/>
    <cellStyle name="Normal 6 3" xfId="627" xr:uid="{4A26A58B-7FCB-41A0-981C-8E1A21369BCB}"/>
    <cellStyle name="Normal 7" xfId="81" xr:uid="{00000000-0005-0000-0000-000054000000}"/>
    <cellStyle name="Normal 7 2" xfId="628" xr:uid="{13E091AF-29C3-4863-8FB8-0E8A765159CD}"/>
    <cellStyle name="Normal 8" xfId="101" xr:uid="{947A62E7-9B13-4125-8F42-56423315674A}"/>
    <cellStyle name="Normal 8 2" xfId="629" xr:uid="{6582A769-8B2B-4D65-B887-379AD44BDFA1}"/>
    <cellStyle name="Normal 9" xfId="630" xr:uid="{1308C8C4-F275-4DBD-A9E8-E228AB03DA1C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2" xfId="82" xr:uid="{00000000-0005-0000-0000-000055000000}"/>
    <cellStyle name="Note 2 2" xfId="811" xr:uid="{88EE9475-8459-4E92-B64E-E25ACC6A51C7}"/>
    <cellStyle name="Note 2 3" xfId="637" xr:uid="{CF50727E-2C77-407C-AC31-2D4DB5D30CFE}"/>
    <cellStyle name="Note 3" xfId="638" xr:uid="{19CEE5A5-BE22-42FF-910F-F069B3250C44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4" xfId="1491" xr:uid="{63A4295F-CB30-4A18-B766-1E2FF7F4C0D1}"/>
    <cellStyle name="Percent 2 5" xfId="660" xr:uid="{4942AEF8-1E46-4CCB-B071-0521E2369A69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3" xfId="99" xr:uid="{00000000-0005-0000-0000-00005C000000}"/>
    <cellStyle name="Percent 3 2 4" xfId="711" xr:uid="{CFAB68E3-4DA1-4B36-806A-2EF59B608AF7}"/>
    <cellStyle name="Percent 3 3" xfId="735" xr:uid="{B1055DFC-E471-4EEA-9D50-1A88F26CD4BA}"/>
    <cellStyle name="Percent 3 4" xfId="842" xr:uid="{18429C23-B04A-4925-B20D-809EF7B2CD13}"/>
    <cellStyle name="Percent 3 5" xfId="661" xr:uid="{4A961E52-7858-4D07-90B6-5933D4465ABC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3" xfId="712" xr:uid="{55D2CD74-19FC-40BE-B10B-80E3CC32F985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00639A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Summaries!$Q$186</c:f>
              <c:strCache>
                <c:ptCount val="1"/>
                <c:pt idx="0">
                  <c:v>Actual kWh Purchased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Summaries!$P$187:$P$196</c:f>
              <c:numCache>
                <c:formatCode>0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Summaries!$Q$187:$Q$196</c:f>
              <c:numCache>
                <c:formatCode>#,##0_);\(#,##0\)</c:formatCode>
                <c:ptCount val="10"/>
                <c:pt idx="0">
                  <c:v>253794532.28605214</c:v>
                </c:pt>
                <c:pt idx="1">
                  <c:v>256463675.28359121</c:v>
                </c:pt>
                <c:pt idx="2">
                  <c:v>256374688.63650927</c:v>
                </c:pt>
                <c:pt idx="3">
                  <c:v>259210018.63999999</c:v>
                </c:pt>
                <c:pt idx="4">
                  <c:v>254048366.90000001</c:v>
                </c:pt>
                <c:pt idx="5">
                  <c:v>266473255.97205046</c:v>
                </c:pt>
                <c:pt idx="6">
                  <c:v>261985353.56</c:v>
                </c:pt>
                <c:pt idx="7">
                  <c:v>263490930.20000002</c:v>
                </c:pt>
                <c:pt idx="8">
                  <c:v>268727921.99999994</c:v>
                </c:pt>
                <c:pt idx="9">
                  <c:v>275977471.30408913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8-40C4-A3FE-72B6B4968C98}"/>
            </c:ext>
          </c:extLst>
        </c:ser>
        <c:ser>
          <c:idx val="1"/>
          <c:order val="1"/>
          <c:tx>
            <c:strRef>
              <c:f>Summaries!$S$186</c:f>
              <c:strCache>
                <c:ptCount val="1"/>
                <c:pt idx="0">
                  <c:v>Predicted kWh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Summaries!$P$187:$P$196</c:f>
              <c:numCache>
                <c:formatCode>0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Summaries!$S$187:$S$196</c:f>
              <c:numCache>
                <c:formatCode>#,##0_);\(#,##0\)</c:formatCode>
                <c:ptCount val="10"/>
                <c:pt idx="0">
                  <c:v>251533693.58879703</c:v>
                </c:pt>
                <c:pt idx="1">
                  <c:v>253556301.02569917</c:v>
                </c:pt>
                <c:pt idx="2">
                  <c:v>255727922.66187942</c:v>
                </c:pt>
                <c:pt idx="3">
                  <c:v>261639329.47235405</c:v>
                </c:pt>
                <c:pt idx="4">
                  <c:v>258052709.48889771</c:v>
                </c:pt>
                <c:pt idx="5">
                  <c:v>265791999.93549296</c:v>
                </c:pt>
                <c:pt idx="6">
                  <c:v>264427475.99361259</c:v>
                </c:pt>
                <c:pt idx="7">
                  <c:v>265846091.2069304</c:v>
                </c:pt>
                <c:pt idx="8">
                  <c:v>267553382.3857789</c:v>
                </c:pt>
                <c:pt idx="9">
                  <c:v>275977471.30408889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E8-40C4-A3FE-72B6B4968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8202127"/>
        <c:axId val="898201711"/>
      </c:barChart>
      <c:catAx>
        <c:axId val="89820212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201711"/>
        <c:crosses val="autoZero"/>
        <c:auto val="1"/>
        <c:lblAlgn val="ctr"/>
        <c:lblOffset val="100"/>
        <c:noMultiLvlLbl val="0"/>
      </c:catAx>
      <c:valAx>
        <c:axId val="898201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202127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t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807720</xdr:colOff>
      <xdr:row>196</xdr:row>
      <xdr:rowOff>133350</xdr:rowOff>
    </xdr:from>
    <xdr:to>
      <xdr:col>18</xdr:col>
      <xdr:colOff>809625</xdr:colOff>
      <xdr:row>213</xdr:row>
      <xdr:rowOff>32385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562705-2506-CF69-67E1-ADC27D3821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0</xdr:colOff>
      <xdr:row>243</xdr:row>
      <xdr:rowOff>0</xdr:rowOff>
    </xdr:from>
    <xdr:to>
      <xdr:col>17</xdr:col>
      <xdr:colOff>10401</xdr:colOff>
      <xdr:row>253</xdr:row>
      <xdr:rowOff>19324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48663F-1CB1-6478-6500-50E4A810D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43925" y="44148375"/>
          <a:ext cx="6277851" cy="19624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14%20Filing\2014%20Rate%20Application%20Documentation%20-%20Settlement%20Conference\1.%20Models\OHL_Load%20Forecasting%20Model%20-%202014.xlsx" TargetMode="External"/><Relationship Id="rId1" Type="http://schemas.openxmlformats.org/officeDocument/2006/relationships/externalLinkPath" Target="/FINANCE/Rate%20Submission/2014%20Filing/2014%20Rate%20Application%20Documentation%20-%20Settlement%20Conference/1.%20Models/OHL_Load%20Forecasting%20Model%20-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24%20Cost%20of%20Service\Exhibit%203%20Load%20forecasting\Daily%20Data%20Report%20HDD%20CDD%20from%20Govt%20of%20Canada.xlsx" TargetMode="External"/><Relationship Id="rId1" Type="http://schemas.openxmlformats.org/officeDocument/2006/relationships/externalLinkPath" Target="/FINANCE/Rate%20Submission/2024%20Cost%20of%20Service/Exhibit%203%20Load%20forecasting/Daily%20Data%20Report%20HDD%20CDD%20from%20Govt%20of%20Canada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RR%20Reporting\2023\Annual%20Filing%20-%20YE%202022\2.1.5%20PBR\Demand%20and%20Revenue\RRR%202.1.5.4%20Demand%20and%20Revenue%20kW%20and%20kWh%20w%20RTLRID%20YE2022%2020230418_submitted%20June%202023.xlsx" TargetMode="External"/><Relationship Id="rId1" Type="http://schemas.openxmlformats.org/officeDocument/2006/relationships/externalLinkPath" Target="/FINANCE/RRR%20Reporting/2023/Annual%20Filing%20-%20YE%202022/2.1.5%20PBR/Demand%20and%20Revenue/RRR%202.1.5.4%20Demand%20and%20Revenue%20kW%20and%20kWh%20w%20RTLRID%20YE2022%2020230418_submitted%20June%202023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24%20Cost%20of%20Service\3.%20Interrogatories\OHL%202024_Filing_Requirements_Chapter2_Appendices%2020240119.xlsm" TargetMode="External"/><Relationship Id="rId1" Type="http://schemas.openxmlformats.org/officeDocument/2006/relationships/externalLinkPath" Target="OHL%202024_Filing_Requirements_Chapter2_Appendices%2020240119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DC%20FTY%20-%20LF\CostAllocatio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ocuments%20and%20Settings\bbacon\My%20Documents\Orillia\2010%20Rates\2010%20Rate%20File%20-%20July%202,%202009\Documents%20and%20Settings\mmaw\Local%20Settings\Temporary%20Internet%20Files\OLKBC\Exhibit%203%20Distribution%20Revenue%20Throughputs%20-%20Blank.xls?9891282D" TargetMode="External"/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ibit 3 Tables"/>
      <sheetName val="Summary"/>
      <sheetName val=" Purchased Power Model"/>
      <sheetName val="Rate Class Energy Model"/>
      <sheetName val="Rate Class Customer Model"/>
      <sheetName val="Rate Class Load Model"/>
      <sheetName val="2013 COP Forecast"/>
      <sheetName val="2014 COP Forecast"/>
      <sheetName val="Manual Adj Industries"/>
      <sheetName val="CDM Data"/>
      <sheetName val="Peak hours"/>
      <sheetName val="HDD and CDD data"/>
      <sheetName val="Chart2"/>
      <sheetName val="Customer"/>
      <sheetName val="Residential"/>
      <sheetName val="GS &lt; 50 kW"/>
      <sheetName val="GS &gt; 50 kW "/>
      <sheetName val="Sheet1"/>
      <sheetName val="Sheet2"/>
    </sheetNames>
    <sheetDataSet>
      <sheetData sheetId="0"/>
      <sheetData sheetId="1">
        <row r="5">
          <cell r="M5">
            <v>266100000</v>
          </cell>
        </row>
        <row r="8">
          <cell r="M8">
            <v>252033687.41449282</v>
          </cell>
        </row>
        <row r="9">
          <cell r="M9">
            <v>252.03368741449282</v>
          </cell>
        </row>
        <row r="12">
          <cell r="M12">
            <v>10324.921892397642</v>
          </cell>
        </row>
        <row r="13">
          <cell r="M13">
            <v>90278404.207778618</v>
          </cell>
        </row>
        <row r="14">
          <cell r="M14">
            <v>90.278404207778621</v>
          </cell>
        </row>
        <row r="16">
          <cell r="M16">
            <v>1140.8484921040983</v>
          </cell>
        </row>
        <row r="17">
          <cell r="M17">
            <v>37678912.33805047</v>
          </cell>
        </row>
        <row r="18">
          <cell r="M18">
            <v>37.678912338050466</v>
          </cell>
        </row>
        <row r="20">
          <cell r="M20">
            <v>123.69498579758614</v>
          </cell>
        </row>
        <row r="21">
          <cell r="M21">
            <v>121733912.81420493</v>
          </cell>
        </row>
        <row r="22">
          <cell r="M22">
            <v>293725.33462561422</v>
          </cell>
        </row>
        <row r="23">
          <cell r="M23">
            <v>121.73391281420493</v>
          </cell>
        </row>
        <row r="25">
          <cell r="M25">
            <v>2869.6628833825698</v>
          </cell>
        </row>
        <row r="26">
          <cell r="M26">
            <v>1861617.8068174501</v>
          </cell>
        </row>
        <row r="27">
          <cell r="M27">
            <v>5229.9860393372019</v>
          </cell>
        </row>
        <row r="28">
          <cell r="M28">
            <v>1.86161780681745</v>
          </cell>
        </row>
        <row r="30">
          <cell r="M30">
            <v>155.48547729973458</v>
          </cell>
        </row>
        <row r="31">
          <cell r="M31">
            <v>122535.77700319083</v>
          </cell>
        </row>
        <row r="32">
          <cell r="M32">
            <v>338.86175995396366</v>
          </cell>
        </row>
        <row r="33">
          <cell r="M33">
            <v>0.12253577700319083</v>
          </cell>
        </row>
        <row r="35">
          <cell r="M35">
            <v>104</v>
          </cell>
        </row>
        <row r="36">
          <cell r="M36">
            <v>358304.47063816962</v>
          </cell>
        </row>
        <row r="37">
          <cell r="M37">
            <v>0.35830447063816961</v>
          </cell>
        </row>
        <row r="39">
          <cell r="M39">
            <v>14718.613730981633</v>
          </cell>
        </row>
        <row r="40">
          <cell r="M40">
            <v>252033687.41449282</v>
          </cell>
        </row>
        <row r="41">
          <cell r="M41">
            <v>299294.18242490536</v>
          </cell>
        </row>
        <row r="44">
          <cell r="M44">
            <v>14718.613730981633</v>
          </cell>
        </row>
        <row r="45">
          <cell r="M45">
            <v>252033687.41449282</v>
          </cell>
        </row>
        <row r="46">
          <cell r="M46">
            <v>299294.18242490536</v>
          </cell>
        </row>
      </sheetData>
      <sheetData sheetId="2"/>
      <sheetData sheetId="3">
        <row r="12">
          <cell r="B12">
            <v>261643455.43000001</v>
          </cell>
        </row>
      </sheetData>
      <sheetData sheetId="4">
        <row r="13">
          <cell r="B13">
            <v>10204.255841796119</v>
          </cell>
        </row>
      </sheetData>
      <sheetData sheetId="5">
        <row r="13">
          <cell r="B13">
            <v>293022.41964743519</v>
          </cell>
        </row>
      </sheetData>
      <sheetData sheetId="6">
        <row r="13">
          <cell r="F13">
            <v>6463101.6594821503</v>
          </cell>
        </row>
      </sheetData>
      <sheetData sheetId="7">
        <row r="13">
          <cell r="F13">
            <v>7415278.8986465596</v>
          </cell>
        </row>
      </sheetData>
      <sheetData sheetId="8"/>
      <sheetData sheetId="9">
        <row r="6">
          <cell r="O6">
            <v>9.8138747884940772E-2</v>
          </cell>
        </row>
      </sheetData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oice of Station"/>
      <sheetName val="KW 321m"/>
      <sheetName val="HDD CDD Summary"/>
      <sheetName val="Elora 376m"/>
      <sheetName val="Peak no of hours"/>
      <sheetName val="Toronto Intl A"/>
      <sheetName val="OV vs Mono 2014&amp;2015"/>
      <sheetName val="Orangeville MOE 411m"/>
      <sheetName val="Mono Center station"/>
      <sheetName val="Instructions"/>
    </sheetNames>
    <sheetDataSet>
      <sheetData sheetId="0"/>
      <sheetData sheetId="1"/>
      <sheetData sheetId="2">
        <row r="1">
          <cell r="R1" t="str">
            <v>Input to Load Forecast Model</v>
          </cell>
          <cell r="S1"/>
          <cell r="T1" t="str">
            <v>for Pearson</v>
          </cell>
        </row>
        <row r="2">
          <cell r="S2" t="str">
            <v>Monthly HDD</v>
          </cell>
          <cell r="T2" t="str">
            <v>Monthly CDD</v>
          </cell>
        </row>
        <row r="3">
          <cell r="R3" t="str">
            <v>20131</v>
          </cell>
          <cell r="S3">
            <v>624.50000000000011</v>
          </cell>
          <cell r="T3">
            <v>0</v>
          </cell>
        </row>
        <row r="4">
          <cell r="R4" t="str">
            <v>20132</v>
          </cell>
          <cell r="S4">
            <v>631.49999999999989</v>
          </cell>
          <cell r="T4">
            <v>0</v>
          </cell>
        </row>
        <row r="5">
          <cell r="R5" t="str">
            <v>20133</v>
          </cell>
          <cell r="S5">
            <v>554.79999999999995</v>
          </cell>
          <cell r="T5">
            <v>0</v>
          </cell>
        </row>
        <row r="6">
          <cell r="R6" t="str">
            <v>20134</v>
          </cell>
          <cell r="S6">
            <v>358.6</v>
          </cell>
          <cell r="T6">
            <v>0</v>
          </cell>
        </row>
        <row r="7">
          <cell r="R7" t="str">
            <v>20135</v>
          </cell>
          <cell r="S7">
            <v>109.10000000000001</v>
          </cell>
          <cell r="T7">
            <v>23.1</v>
          </cell>
        </row>
        <row r="8">
          <cell r="R8" t="str">
            <v>20136</v>
          </cell>
          <cell r="S8">
            <v>32.999999999999993</v>
          </cell>
          <cell r="T8">
            <v>60</v>
          </cell>
        </row>
        <row r="9">
          <cell r="R9" t="str">
            <v>20137</v>
          </cell>
          <cell r="S9">
            <v>1.2999999999999998</v>
          </cell>
          <cell r="T9">
            <v>131.20000000000002</v>
          </cell>
        </row>
        <row r="10">
          <cell r="R10" t="str">
            <v>20138</v>
          </cell>
          <cell r="S10">
            <v>4.4000000000000004</v>
          </cell>
          <cell r="T10">
            <v>93.799999999999983</v>
          </cell>
        </row>
        <row r="11">
          <cell r="R11" t="str">
            <v>20139</v>
          </cell>
          <cell r="S11">
            <v>86.35</v>
          </cell>
          <cell r="T11">
            <v>28.749999999999996</v>
          </cell>
        </row>
        <row r="12">
          <cell r="R12" t="str">
            <v>201310</v>
          </cell>
          <cell r="S12">
            <v>221.8</v>
          </cell>
          <cell r="T12">
            <v>0.4</v>
          </cell>
        </row>
        <row r="13">
          <cell r="R13" t="str">
            <v>201311</v>
          </cell>
          <cell r="S13">
            <v>478.20000000000005</v>
          </cell>
          <cell r="T13">
            <v>0</v>
          </cell>
        </row>
        <row r="14">
          <cell r="R14" t="str">
            <v>201312</v>
          </cell>
          <cell r="S14">
            <v>687.9</v>
          </cell>
          <cell r="T14">
            <v>0</v>
          </cell>
        </row>
        <row r="15">
          <cell r="R15" t="str">
            <v>20141</v>
          </cell>
          <cell r="S15">
            <v>825.90000000000009</v>
          </cell>
          <cell r="T15">
            <v>0</v>
          </cell>
        </row>
        <row r="16">
          <cell r="R16" t="str">
            <v>20142</v>
          </cell>
          <cell r="S16">
            <v>737.09999999999991</v>
          </cell>
          <cell r="T16">
            <v>0</v>
          </cell>
        </row>
        <row r="17">
          <cell r="R17" t="str">
            <v>20143</v>
          </cell>
          <cell r="S17">
            <v>690.6</v>
          </cell>
          <cell r="T17">
            <v>0</v>
          </cell>
        </row>
        <row r="18">
          <cell r="R18" t="str">
            <v>20144</v>
          </cell>
          <cell r="S18">
            <v>356.90000000000003</v>
          </cell>
          <cell r="T18">
            <v>0</v>
          </cell>
        </row>
        <row r="19">
          <cell r="R19" t="str">
            <v>20145</v>
          </cell>
          <cell r="S19">
            <v>132.10000000000005</v>
          </cell>
          <cell r="T19">
            <v>11.9</v>
          </cell>
        </row>
        <row r="20">
          <cell r="R20" t="str">
            <v>20146</v>
          </cell>
          <cell r="S20">
            <v>14.1</v>
          </cell>
          <cell r="T20">
            <v>68.099999999999994</v>
          </cell>
        </row>
        <row r="21">
          <cell r="R21" t="str">
            <v>20147</v>
          </cell>
          <cell r="S21">
            <v>4</v>
          </cell>
          <cell r="T21">
            <v>71</v>
          </cell>
        </row>
        <row r="22">
          <cell r="R22" t="str">
            <v>20148</v>
          </cell>
          <cell r="S22">
            <v>8.7999999999999989</v>
          </cell>
          <cell r="T22">
            <v>81.799999999999983</v>
          </cell>
        </row>
        <row r="23">
          <cell r="R23" t="str">
            <v>20149</v>
          </cell>
          <cell r="S23">
            <v>69.700000000000017</v>
          </cell>
          <cell r="T23">
            <v>30.099999999999998</v>
          </cell>
        </row>
        <row r="24">
          <cell r="R24" t="str">
            <v>201410</v>
          </cell>
          <cell r="S24">
            <v>224.30000000000004</v>
          </cell>
          <cell r="T24">
            <v>1.3</v>
          </cell>
        </row>
        <row r="25">
          <cell r="R25" t="str">
            <v>201411</v>
          </cell>
          <cell r="S25">
            <v>482.1</v>
          </cell>
          <cell r="T25">
            <v>0</v>
          </cell>
        </row>
        <row r="26">
          <cell r="R26" t="str">
            <v>201412</v>
          </cell>
          <cell r="S26">
            <v>557.29999999999995</v>
          </cell>
          <cell r="T26">
            <v>0</v>
          </cell>
        </row>
        <row r="27">
          <cell r="R27" t="str">
            <v>20151</v>
          </cell>
          <cell r="S27">
            <v>792.39999999999975</v>
          </cell>
          <cell r="T27">
            <v>0</v>
          </cell>
        </row>
        <row r="28">
          <cell r="R28" t="str">
            <v>20152</v>
          </cell>
          <cell r="S28">
            <v>856.8</v>
          </cell>
          <cell r="T28">
            <v>0</v>
          </cell>
        </row>
        <row r="29">
          <cell r="R29" t="str">
            <v>20153</v>
          </cell>
          <cell r="S29">
            <v>615.49999999999989</v>
          </cell>
          <cell r="T29">
            <v>0</v>
          </cell>
        </row>
        <row r="30">
          <cell r="R30" t="str">
            <v>20154</v>
          </cell>
          <cell r="S30">
            <v>313.7</v>
          </cell>
          <cell r="T30">
            <v>0</v>
          </cell>
        </row>
        <row r="31">
          <cell r="R31" t="str">
            <v>20155</v>
          </cell>
          <cell r="S31">
            <v>89.3</v>
          </cell>
          <cell r="T31">
            <v>34.1</v>
          </cell>
        </row>
        <row r="32">
          <cell r="R32" t="str">
            <v>20156</v>
          </cell>
          <cell r="S32">
            <v>33.800000000000004</v>
          </cell>
          <cell r="T32">
            <v>32.299999999999997</v>
          </cell>
        </row>
        <row r="33">
          <cell r="R33" t="str">
            <v>20157</v>
          </cell>
          <cell r="S33">
            <v>4</v>
          </cell>
          <cell r="T33">
            <v>114.29999999999998</v>
          </cell>
        </row>
        <row r="34">
          <cell r="R34" t="str">
            <v>20158</v>
          </cell>
          <cell r="S34">
            <v>4.4000000000000004</v>
          </cell>
          <cell r="T34">
            <v>88.6</v>
          </cell>
        </row>
        <row r="35">
          <cell r="R35" t="str">
            <v>20159</v>
          </cell>
          <cell r="S35">
            <v>31.099999999999994</v>
          </cell>
          <cell r="T35">
            <v>81.900000000000006</v>
          </cell>
        </row>
        <row r="36">
          <cell r="R36" t="str">
            <v>201510</v>
          </cell>
          <cell r="S36">
            <v>249.8</v>
          </cell>
          <cell r="T36">
            <v>0</v>
          </cell>
        </row>
        <row r="37">
          <cell r="R37" t="str">
            <v>201511</v>
          </cell>
          <cell r="S37">
            <v>345</v>
          </cell>
          <cell r="T37">
            <v>0</v>
          </cell>
        </row>
        <row r="38">
          <cell r="R38" t="str">
            <v>201512</v>
          </cell>
          <cell r="S38">
            <v>429.70000000000005</v>
          </cell>
          <cell r="T38">
            <v>0</v>
          </cell>
        </row>
        <row r="39">
          <cell r="R39" t="str">
            <v>20161</v>
          </cell>
          <cell r="S39">
            <v>670.4</v>
          </cell>
          <cell r="T39">
            <v>0</v>
          </cell>
        </row>
        <row r="40">
          <cell r="R40" t="str">
            <v>20162</v>
          </cell>
          <cell r="S40">
            <v>588.4</v>
          </cell>
          <cell r="T40">
            <v>0</v>
          </cell>
        </row>
        <row r="41">
          <cell r="R41" t="str">
            <v>20163</v>
          </cell>
          <cell r="S41">
            <v>476.0999999999998</v>
          </cell>
          <cell r="T41">
            <v>0</v>
          </cell>
        </row>
        <row r="42">
          <cell r="R42" t="str">
            <v>20164</v>
          </cell>
          <cell r="S42">
            <v>394.8</v>
          </cell>
          <cell r="T42">
            <v>0</v>
          </cell>
        </row>
        <row r="43">
          <cell r="R43" t="str">
            <v>20165</v>
          </cell>
          <cell r="S43">
            <v>142.50000000000003</v>
          </cell>
          <cell r="T43">
            <v>36.9</v>
          </cell>
        </row>
        <row r="44">
          <cell r="R44" t="str">
            <v>20166</v>
          </cell>
          <cell r="S44">
            <v>24.200000000000003</v>
          </cell>
          <cell r="T44">
            <v>83.7</v>
          </cell>
        </row>
        <row r="45">
          <cell r="R45" t="str">
            <v>20167</v>
          </cell>
          <cell r="S45">
            <v>0</v>
          </cell>
          <cell r="T45">
            <v>176.89999999999998</v>
          </cell>
        </row>
        <row r="46">
          <cell r="R46" t="str">
            <v>20168</v>
          </cell>
          <cell r="S46">
            <v>0</v>
          </cell>
          <cell r="T46">
            <v>195.4</v>
          </cell>
        </row>
        <row r="47">
          <cell r="R47" t="str">
            <v>20169</v>
          </cell>
          <cell r="S47">
            <v>25.900000000000006</v>
          </cell>
          <cell r="T47">
            <v>69.400000000000006</v>
          </cell>
        </row>
        <row r="48">
          <cell r="R48" t="str">
            <v>201610</v>
          </cell>
          <cell r="S48">
            <v>194.20000000000002</v>
          </cell>
          <cell r="T48">
            <v>4.0999999999999996</v>
          </cell>
        </row>
        <row r="49">
          <cell r="R49" t="str">
            <v>201611</v>
          </cell>
          <cell r="S49">
            <v>337.80000000000007</v>
          </cell>
          <cell r="T49">
            <v>0</v>
          </cell>
        </row>
        <row r="50">
          <cell r="R50" t="str">
            <v>201612</v>
          </cell>
          <cell r="S50">
            <v>607.99999999999989</v>
          </cell>
          <cell r="T50">
            <v>0</v>
          </cell>
        </row>
        <row r="51">
          <cell r="R51" t="str">
            <v>20171</v>
          </cell>
          <cell r="S51">
            <v>608.9</v>
          </cell>
          <cell r="T51">
            <v>0</v>
          </cell>
        </row>
        <row r="52">
          <cell r="R52" t="str">
            <v>20172</v>
          </cell>
          <cell r="S52">
            <v>510.4</v>
          </cell>
          <cell r="T52">
            <v>0</v>
          </cell>
        </row>
        <row r="53">
          <cell r="R53" t="str">
            <v>20173</v>
          </cell>
          <cell r="S53">
            <v>574</v>
          </cell>
          <cell r="T53">
            <v>0</v>
          </cell>
        </row>
        <row r="54">
          <cell r="R54" t="str">
            <v>20174</v>
          </cell>
          <cell r="S54">
            <v>257.49999999999994</v>
          </cell>
          <cell r="T54">
            <v>0</v>
          </cell>
        </row>
        <row r="55">
          <cell r="R55" t="str">
            <v>20175</v>
          </cell>
          <cell r="S55">
            <v>177</v>
          </cell>
          <cell r="T55">
            <v>9</v>
          </cell>
        </row>
        <row r="56">
          <cell r="R56" t="str">
            <v>20176</v>
          </cell>
          <cell r="S56">
            <v>26.699999999999996</v>
          </cell>
          <cell r="T56">
            <v>68.2</v>
          </cell>
        </row>
        <row r="57">
          <cell r="R57" t="str">
            <v>20177</v>
          </cell>
          <cell r="S57">
            <v>0</v>
          </cell>
          <cell r="T57">
            <v>116.49999999999999</v>
          </cell>
        </row>
        <row r="58">
          <cell r="R58" t="str">
            <v>20178</v>
          </cell>
          <cell r="S58">
            <v>11.6</v>
          </cell>
          <cell r="T58">
            <v>75.2</v>
          </cell>
        </row>
        <row r="59">
          <cell r="R59" t="str">
            <v>20179</v>
          </cell>
          <cell r="S59">
            <v>49.1</v>
          </cell>
          <cell r="T59">
            <v>71.499999999999986</v>
          </cell>
        </row>
        <row r="60">
          <cell r="R60" t="str">
            <v>201710</v>
          </cell>
          <cell r="S60">
            <v>153.99999999999997</v>
          </cell>
          <cell r="T60">
            <v>8.1</v>
          </cell>
        </row>
        <row r="61">
          <cell r="R61" t="str">
            <v>201711</v>
          </cell>
          <cell r="S61">
            <v>429.35</v>
          </cell>
          <cell r="T61">
            <v>0</v>
          </cell>
        </row>
        <row r="62">
          <cell r="R62" t="str">
            <v>201712</v>
          </cell>
          <cell r="S62">
            <v>718.49999999999989</v>
          </cell>
          <cell r="T62">
            <v>0</v>
          </cell>
        </row>
        <row r="63">
          <cell r="R63" t="str">
            <v>20181</v>
          </cell>
          <cell r="S63">
            <v>732.29999999999984</v>
          </cell>
          <cell r="T63">
            <v>0</v>
          </cell>
        </row>
        <row r="64">
          <cell r="R64" t="str">
            <v>20182</v>
          </cell>
          <cell r="S64">
            <v>555.00000000000023</v>
          </cell>
          <cell r="T64">
            <v>0</v>
          </cell>
        </row>
        <row r="65">
          <cell r="R65" t="str">
            <v>20183</v>
          </cell>
          <cell r="S65">
            <v>553.99999999999989</v>
          </cell>
          <cell r="T65">
            <v>0</v>
          </cell>
        </row>
        <row r="66">
          <cell r="R66" t="str">
            <v>20184</v>
          </cell>
          <cell r="S66">
            <v>437.20000000000005</v>
          </cell>
          <cell r="T66">
            <v>0</v>
          </cell>
        </row>
        <row r="67">
          <cell r="R67" t="str">
            <v>20185</v>
          </cell>
          <cell r="S67">
            <v>75.3</v>
          </cell>
          <cell r="T67">
            <v>43.4</v>
          </cell>
        </row>
        <row r="68">
          <cell r="R68" t="str">
            <v>20186</v>
          </cell>
          <cell r="S68">
            <v>14.799999999999999</v>
          </cell>
          <cell r="T68">
            <v>60.5</v>
          </cell>
        </row>
        <row r="69">
          <cell r="R69" t="str">
            <v>20187</v>
          </cell>
          <cell r="S69">
            <v>0</v>
          </cell>
          <cell r="T69">
            <v>167.8</v>
          </cell>
        </row>
        <row r="70">
          <cell r="R70" t="str">
            <v>20188</v>
          </cell>
          <cell r="S70">
            <v>1.2</v>
          </cell>
          <cell r="T70">
            <v>162.4</v>
          </cell>
        </row>
        <row r="71">
          <cell r="R71" t="str">
            <v>20189</v>
          </cell>
          <cell r="S71">
            <v>45.04999999999999</v>
          </cell>
          <cell r="T71">
            <v>76.399999999999977</v>
          </cell>
        </row>
        <row r="72">
          <cell r="R72" t="str">
            <v>201810</v>
          </cell>
          <cell r="S72">
            <v>289.40000000000003</v>
          </cell>
          <cell r="T72">
            <v>8.1999999999999993</v>
          </cell>
        </row>
        <row r="73">
          <cell r="R73" t="str">
            <v>201811</v>
          </cell>
          <cell r="S73">
            <v>494.1</v>
          </cell>
          <cell r="T73">
            <v>0</v>
          </cell>
        </row>
        <row r="74">
          <cell r="R74" t="str">
            <v>201812</v>
          </cell>
          <cell r="S74">
            <v>563.60000000000014</v>
          </cell>
          <cell r="T74">
            <v>0</v>
          </cell>
        </row>
        <row r="75">
          <cell r="R75" t="str">
            <v>20191</v>
          </cell>
          <cell r="S75">
            <v>764.5</v>
          </cell>
          <cell r="T75">
            <v>0</v>
          </cell>
        </row>
        <row r="76">
          <cell r="R76" t="str">
            <v>20192</v>
          </cell>
          <cell r="S76">
            <v>621.70000000000016</v>
          </cell>
          <cell r="T76">
            <v>0</v>
          </cell>
        </row>
        <row r="77">
          <cell r="R77" t="str">
            <v>20193</v>
          </cell>
          <cell r="S77">
            <v>593.90000000000009</v>
          </cell>
          <cell r="T77">
            <v>0</v>
          </cell>
        </row>
        <row r="78">
          <cell r="R78" t="str">
            <v>20194</v>
          </cell>
          <cell r="S78">
            <v>346.8</v>
          </cell>
          <cell r="T78">
            <v>0</v>
          </cell>
        </row>
        <row r="79">
          <cell r="R79" t="str">
            <v>20195</v>
          </cell>
          <cell r="S79">
            <v>189.94999999999996</v>
          </cell>
          <cell r="T79">
            <v>0</v>
          </cell>
        </row>
        <row r="80">
          <cell r="R80" t="str">
            <v>20196</v>
          </cell>
          <cell r="S80">
            <v>35.5</v>
          </cell>
          <cell r="T80">
            <v>41.300000000000004</v>
          </cell>
        </row>
        <row r="81">
          <cell r="R81" t="str">
            <v>20197</v>
          </cell>
          <cell r="S81">
            <v>0</v>
          </cell>
          <cell r="T81">
            <v>166.90000000000003</v>
          </cell>
        </row>
        <row r="82">
          <cell r="R82" t="str">
            <v>20198</v>
          </cell>
          <cell r="S82">
            <v>0.89999999999999991</v>
          </cell>
          <cell r="T82">
            <v>103.30000000000003</v>
          </cell>
        </row>
        <row r="83">
          <cell r="R83" t="str">
            <v>20199</v>
          </cell>
          <cell r="S83">
            <v>38.400000000000006</v>
          </cell>
          <cell r="T83">
            <v>25.400000000000002</v>
          </cell>
        </row>
        <row r="84">
          <cell r="R84" t="str">
            <v>201910</v>
          </cell>
          <cell r="S84">
            <v>236.5</v>
          </cell>
          <cell r="T84">
            <v>5.0999999999999996</v>
          </cell>
        </row>
        <row r="85">
          <cell r="R85" t="str">
            <v>201911</v>
          </cell>
          <cell r="S85">
            <v>513.30000000000007</v>
          </cell>
          <cell r="T85">
            <v>0</v>
          </cell>
        </row>
        <row r="86">
          <cell r="R86" t="str">
            <v>201912</v>
          </cell>
          <cell r="S86">
            <v>582.4</v>
          </cell>
          <cell r="T86">
            <v>0</v>
          </cell>
        </row>
        <row r="87">
          <cell r="R87" t="str">
            <v>20201</v>
          </cell>
          <cell r="S87">
            <v>605</v>
          </cell>
          <cell r="T87">
            <v>0</v>
          </cell>
        </row>
        <row r="88">
          <cell r="R88" t="str">
            <v>20202</v>
          </cell>
          <cell r="S88">
            <v>611.79999999999995</v>
          </cell>
          <cell r="T88">
            <v>0</v>
          </cell>
        </row>
        <row r="89">
          <cell r="R89" t="str">
            <v>20203</v>
          </cell>
          <cell r="S89">
            <v>458.69999999999993</v>
          </cell>
          <cell r="T89">
            <v>0</v>
          </cell>
        </row>
        <row r="90">
          <cell r="R90" t="str">
            <v>20204</v>
          </cell>
          <cell r="S90">
            <v>362.2999999999999</v>
          </cell>
          <cell r="T90">
            <v>0</v>
          </cell>
        </row>
        <row r="91">
          <cell r="R91" t="str">
            <v>20205</v>
          </cell>
          <cell r="S91">
            <v>208.09999999999997</v>
          </cell>
          <cell r="T91">
            <v>24.2</v>
          </cell>
        </row>
        <row r="92">
          <cell r="R92" t="str">
            <v>20206</v>
          </cell>
          <cell r="S92">
            <v>23.799999999999997</v>
          </cell>
          <cell r="T92">
            <v>97.700000000000017</v>
          </cell>
        </row>
        <row r="93">
          <cell r="R93" t="str">
            <v>20207</v>
          </cell>
          <cell r="S93">
            <v>0</v>
          </cell>
          <cell r="T93">
            <v>215.7</v>
          </cell>
        </row>
        <row r="94">
          <cell r="R94" t="str">
            <v>20208</v>
          </cell>
          <cell r="S94">
            <v>0.8</v>
          </cell>
          <cell r="T94">
            <v>126.69999999999999</v>
          </cell>
        </row>
        <row r="95">
          <cell r="R95" t="str">
            <v>20209</v>
          </cell>
          <cell r="S95">
            <v>69.100000000000009</v>
          </cell>
          <cell r="T95">
            <v>33.300000000000004</v>
          </cell>
        </row>
        <row r="96">
          <cell r="R96" t="str">
            <v>202010</v>
          </cell>
          <cell r="S96">
            <v>270.3</v>
          </cell>
          <cell r="T96">
            <v>0</v>
          </cell>
        </row>
        <row r="97">
          <cell r="R97" t="str">
            <v>202011</v>
          </cell>
          <cell r="S97">
            <v>334.79999999999995</v>
          </cell>
          <cell r="T97">
            <v>0</v>
          </cell>
        </row>
        <row r="98">
          <cell r="R98" t="str">
            <v>202012</v>
          </cell>
          <cell r="S98">
            <v>567.29999999999995</v>
          </cell>
          <cell r="T98">
            <v>0</v>
          </cell>
        </row>
        <row r="99">
          <cell r="R99" t="str">
            <v>20211</v>
          </cell>
          <cell r="S99">
            <v>642.64999999999986</v>
          </cell>
          <cell r="T99">
            <v>0</v>
          </cell>
        </row>
        <row r="100">
          <cell r="R100" t="str">
            <v>20212</v>
          </cell>
          <cell r="S100">
            <v>653</v>
          </cell>
          <cell r="T100">
            <v>0</v>
          </cell>
        </row>
        <row r="101">
          <cell r="R101" t="str">
            <v>20213</v>
          </cell>
          <cell r="S101">
            <v>460.70000000000005</v>
          </cell>
          <cell r="T101">
            <v>0</v>
          </cell>
        </row>
        <row r="102">
          <cell r="R102" t="str">
            <v>20214</v>
          </cell>
          <cell r="S102">
            <v>302.39999999999998</v>
          </cell>
          <cell r="T102">
            <v>0</v>
          </cell>
        </row>
        <row r="103">
          <cell r="R103" t="str">
            <v>20215</v>
          </cell>
          <cell r="S103">
            <v>164.2</v>
          </cell>
          <cell r="T103">
            <v>27.9</v>
          </cell>
        </row>
        <row r="104">
          <cell r="R104" t="str">
            <v>20216</v>
          </cell>
          <cell r="S104">
            <v>7.0000000000000009</v>
          </cell>
          <cell r="T104">
            <v>121.99999999999999</v>
          </cell>
        </row>
        <row r="105">
          <cell r="R105" t="str">
            <v>20217</v>
          </cell>
          <cell r="S105">
            <v>4.4000000000000004</v>
          </cell>
          <cell r="T105">
            <v>105.75000000000001</v>
          </cell>
        </row>
        <row r="106">
          <cell r="R106" t="str">
            <v>20218</v>
          </cell>
          <cell r="S106">
            <v>0.85</v>
          </cell>
          <cell r="T106">
            <v>179</v>
          </cell>
        </row>
        <row r="107">
          <cell r="R107" t="str">
            <v>20219</v>
          </cell>
          <cell r="S107">
            <v>35.6</v>
          </cell>
          <cell r="T107">
            <v>24.900000000000002</v>
          </cell>
        </row>
        <row r="108">
          <cell r="R108" t="str">
            <v>202110</v>
          </cell>
          <cell r="S108">
            <v>145.19999999999999</v>
          </cell>
          <cell r="T108">
            <v>5.6000000000000005</v>
          </cell>
        </row>
        <row r="109">
          <cell r="R109" t="str">
            <v>202111</v>
          </cell>
          <cell r="S109">
            <v>413.7</v>
          </cell>
          <cell r="T109">
            <v>0</v>
          </cell>
        </row>
        <row r="110">
          <cell r="R110" t="str">
            <v>202112</v>
          </cell>
          <cell r="S110">
            <v>500.6</v>
          </cell>
          <cell r="T110">
            <v>0</v>
          </cell>
        </row>
        <row r="111">
          <cell r="R111" t="str">
            <v>20221</v>
          </cell>
          <cell r="S111">
            <v>809.35</v>
          </cell>
          <cell r="T111">
            <v>0</v>
          </cell>
        </row>
        <row r="112">
          <cell r="R112" t="str">
            <v>20222</v>
          </cell>
          <cell r="S112">
            <v>626.54999999999995</v>
          </cell>
          <cell r="T112">
            <v>0</v>
          </cell>
        </row>
        <row r="113">
          <cell r="R113" t="str">
            <v>20223</v>
          </cell>
          <cell r="S113">
            <v>523.90000000000009</v>
          </cell>
          <cell r="T113">
            <v>0</v>
          </cell>
        </row>
        <row r="114">
          <cell r="R114" t="str">
            <v>20224</v>
          </cell>
          <cell r="S114">
            <v>339.94999999999993</v>
          </cell>
          <cell r="T114">
            <v>0</v>
          </cell>
        </row>
        <row r="115">
          <cell r="R115" t="str">
            <v>20225</v>
          </cell>
          <cell r="S115">
            <v>108.24999999999997</v>
          </cell>
          <cell r="T115">
            <v>36.75</v>
          </cell>
        </row>
        <row r="116">
          <cell r="R116" t="str">
            <v>20226</v>
          </cell>
          <cell r="S116">
            <v>17.699999999999996</v>
          </cell>
          <cell r="T116">
            <v>64.2</v>
          </cell>
        </row>
        <row r="117">
          <cell r="R117" t="str">
            <v>20227</v>
          </cell>
          <cell r="S117">
            <v>0</v>
          </cell>
          <cell r="T117">
            <v>144.69999999999996</v>
          </cell>
        </row>
        <row r="118">
          <cell r="R118" t="str">
            <v>20228</v>
          </cell>
          <cell r="S118">
            <v>0</v>
          </cell>
          <cell r="T118">
            <v>140.49999999999997</v>
          </cell>
        </row>
        <row r="119">
          <cell r="R119" t="str">
            <v>20229</v>
          </cell>
          <cell r="S119">
            <v>52.3</v>
          </cell>
          <cell r="T119">
            <v>49.15</v>
          </cell>
        </row>
        <row r="120">
          <cell r="R120" t="str">
            <v>202210</v>
          </cell>
          <cell r="S120">
            <v>236.70000000000002</v>
          </cell>
          <cell r="T120">
            <v>0.2</v>
          </cell>
        </row>
        <row r="121">
          <cell r="R121" t="str">
            <v>202211</v>
          </cell>
          <cell r="S121">
            <v>380.09999999999997</v>
          </cell>
          <cell r="T121">
            <v>0.9</v>
          </cell>
        </row>
        <row r="122">
          <cell r="R122" t="str">
            <v>202212</v>
          </cell>
          <cell r="S122">
            <v>575.29999999999984</v>
          </cell>
          <cell r="T122">
            <v>0</v>
          </cell>
        </row>
        <row r="123">
          <cell r="R123" t="str">
            <v>20231</v>
          </cell>
          <cell r="S123">
            <v>0</v>
          </cell>
          <cell r="T123">
            <v>0</v>
          </cell>
        </row>
        <row r="124">
          <cell r="R124" t="str">
            <v>20232</v>
          </cell>
          <cell r="S124">
            <v>0</v>
          </cell>
          <cell r="T124">
            <v>0</v>
          </cell>
        </row>
        <row r="125">
          <cell r="R125" t="str">
            <v>20233</v>
          </cell>
          <cell r="S125">
            <v>0</v>
          </cell>
          <cell r="T125">
            <v>0</v>
          </cell>
        </row>
        <row r="126">
          <cell r="R126" t="str">
            <v>20234</v>
          </cell>
          <cell r="S126">
            <v>0</v>
          </cell>
          <cell r="T126">
            <v>0</v>
          </cell>
        </row>
        <row r="127">
          <cell r="R127" t="str">
            <v>20235</v>
          </cell>
          <cell r="S127">
            <v>0</v>
          </cell>
          <cell r="T127">
            <v>0</v>
          </cell>
        </row>
        <row r="128">
          <cell r="R128" t="str">
            <v>20236</v>
          </cell>
          <cell r="S128">
            <v>0</v>
          </cell>
          <cell r="T128">
            <v>0</v>
          </cell>
        </row>
        <row r="129">
          <cell r="R129" t="str">
            <v>20237</v>
          </cell>
          <cell r="S129">
            <v>0</v>
          </cell>
          <cell r="T129">
            <v>0</v>
          </cell>
        </row>
        <row r="130">
          <cell r="R130" t="str">
            <v>20238</v>
          </cell>
          <cell r="S130">
            <v>0</v>
          </cell>
          <cell r="T130">
            <v>0</v>
          </cell>
        </row>
        <row r="131">
          <cell r="R131" t="str">
            <v>20239</v>
          </cell>
          <cell r="S131">
            <v>0</v>
          </cell>
          <cell r="T131">
            <v>0</v>
          </cell>
        </row>
        <row r="132">
          <cell r="R132" t="str">
            <v>202310</v>
          </cell>
          <cell r="S132">
            <v>0</v>
          </cell>
          <cell r="T132">
            <v>0</v>
          </cell>
        </row>
        <row r="133">
          <cell r="R133" t="str">
            <v>202311</v>
          </cell>
          <cell r="S133">
            <v>0</v>
          </cell>
          <cell r="T133">
            <v>0</v>
          </cell>
        </row>
        <row r="134">
          <cell r="R134" t="str">
            <v>202312</v>
          </cell>
          <cell r="S134">
            <v>0</v>
          </cell>
          <cell r="T134">
            <v>0</v>
          </cell>
        </row>
        <row r="135">
          <cell r="R135" t="str">
            <v>20241</v>
          </cell>
          <cell r="S135">
            <v>0</v>
          </cell>
          <cell r="T135">
            <v>0</v>
          </cell>
        </row>
        <row r="136">
          <cell r="R136" t="str">
            <v>20242</v>
          </cell>
          <cell r="S136">
            <v>0</v>
          </cell>
          <cell r="T136">
            <v>0</v>
          </cell>
        </row>
        <row r="137">
          <cell r="R137" t="str">
            <v>20243</v>
          </cell>
          <cell r="S137">
            <v>0</v>
          </cell>
          <cell r="T137">
            <v>0</v>
          </cell>
        </row>
        <row r="138">
          <cell r="R138" t="str">
            <v>20244</v>
          </cell>
          <cell r="S138">
            <v>0</v>
          </cell>
          <cell r="T138">
            <v>0</v>
          </cell>
        </row>
        <row r="139">
          <cell r="R139" t="str">
            <v>20245</v>
          </cell>
          <cell r="S139">
            <v>0</v>
          </cell>
          <cell r="T139">
            <v>0</v>
          </cell>
        </row>
        <row r="140">
          <cell r="R140" t="str">
            <v>20246</v>
          </cell>
          <cell r="S140">
            <v>0</v>
          </cell>
          <cell r="T140">
            <v>0</v>
          </cell>
        </row>
        <row r="141">
          <cell r="R141" t="str">
            <v>20247</v>
          </cell>
          <cell r="S141">
            <v>0</v>
          </cell>
          <cell r="T141">
            <v>0</v>
          </cell>
        </row>
        <row r="142">
          <cell r="R142" t="str">
            <v>20248</v>
          </cell>
          <cell r="S142">
            <v>0</v>
          </cell>
          <cell r="T142">
            <v>0</v>
          </cell>
        </row>
        <row r="143">
          <cell r="R143" t="str">
            <v>20249</v>
          </cell>
          <cell r="S143">
            <v>0</v>
          </cell>
          <cell r="T143">
            <v>0</v>
          </cell>
        </row>
        <row r="144">
          <cell r="R144" t="str">
            <v>202410</v>
          </cell>
          <cell r="S144">
            <v>0</v>
          </cell>
          <cell r="T144">
            <v>0</v>
          </cell>
        </row>
        <row r="145">
          <cell r="R145" t="str">
            <v>202411</v>
          </cell>
          <cell r="S145">
            <v>0</v>
          </cell>
          <cell r="T145">
            <v>0</v>
          </cell>
        </row>
        <row r="146">
          <cell r="R146" t="str">
            <v>202412</v>
          </cell>
          <cell r="S146">
            <v>0</v>
          </cell>
          <cell r="T146">
            <v>0</v>
          </cell>
        </row>
      </sheetData>
      <sheetData sheetId="3"/>
      <sheetData sheetId="4">
        <row r="1">
          <cell r="A1" t="str">
            <v>Input to Load Forecast Model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7.kW by Month-Load Forecast"/>
      <sheetName val="6.kWh by Month-Load Forecast"/>
      <sheetName val="5.2022 RRR Submission"/>
      <sheetName val="4.Class A"/>
      <sheetName val="3.kW RPP non-RPP"/>
      <sheetName val="2.kWh RPP non-RPP"/>
      <sheetName val="Dec # customers"/>
      <sheetName val="1.kW and kWh Query"/>
      <sheetName val="Instructions"/>
      <sheetName val="Mapping Table"/>
    </sheetNames>
    <sheetDataSet>
      <sheetData sheetId="0"/>
      <sheetData sheetId="1">
        <row r="28">
          <cell r="N28">
            <v>317681.46000000008</v>
          </cell>
        </row>
        <row r="29">
          <cell r="N29">
            <v>2434.08</v>
          </cell>
        </row>
        <row r="30">
          <cell r="N30">
            <v>278.2</v>
          </cell>
        </row>
      </sheetData>
      <sheetData sheetId="2"/>
      <sheetData sheetId="3"/>
      <sheetData sheetId="4">
        <row r="43">
          <cell r="N43">
            <v>69562762.690000013</v>
          </cell>
        </row>
        <row r="62">
          <cell r="N62">
            <v>127034.69</v>
          </cell>
        </row>
      </sheetData>
      <sheetData sheetId="5">
        <row r="17">
          <cell r="R17">
            <v>0</v>
          </cell>
          <cell r="S17">
            <v>1257.76</v>
          </cell>
        </row>
        <row r="18">
          <cell r="R18">
            <v>0</v>
          </cell>
          <cell r="S18">
            <v>8122.91</v>
          </cell>
        </row>
        <row r="19">
          <cell r="R19">
            <v>216954.99000000008</v>
          </cell>
          <cell r="S19">
            <v>39051.709999999992</v>
          </cell>
        </row>
        <row r="20">
          <cell r="Q20">
            <v>13309.6</v>
          </cell>
          <cell r="S20">
            <v>0</v>
          </cell>
        </row>
        <row r="21">
          <cell r="Q21">
            <v>23682.22</v>
          </cell>
          <cell r="S21">
            <v>9769.1199999999953</v>
          </cell>
        </row>
        <row r="22">
          <cell r="R22">
            <v>5533.15</v>
          </cell>
          <cell r="S22">
            <v>0</v>
          </cell>
        </row>
        <row r="23">
          <cell r="Q23">
            <v>440.16000000000008</v>
          </cell>
        </row>
        <row r="24">
          <cell r="R24">
            <v>1993.9200000000003</v>
          </cell>
        </row>
      </sheetData>
      <sheetData sheetId="6">
        <row r="37">
          <cell r="Q37">
            <v>4714586.3276404897</v>
          </cell>
          <cell r="S37">
            <v>7162.7516458351165</v>
          </cell>
        </row>
        <row r="38">
          <cell r="Q38">
            <v>-11802.881404446143</v>
          </cell>
          <cell r="S38">
            <v>0</v>
          </cell>
        </row>
        <row r="39">
          <cell r="Q39">
            <v>89579099.475241467</v>
          </cell>
          <cell r="S39">
            <v>1096700.6583341211</v>
          </cell>
        </row>
        <row r="40">
          <cell r="Q40">
            <v>375339.18519225135</v>
          </cell>
        </row>
        <row r="41">
          <cell r="Q41">
            <v>336958.57265528105</v>
          </cell>
          <cell r="S41">
            <v>27943.068409502914</v>
          </cell>
        </row>
        <row r="42">
          <cell r="Q42">
            <v>-69934.758133765848</v>
          </cell>
          <cell r="S42">
            <v>0</v>
          </cell>
        </row>
        <row r="43">
          <cell r="Q43">
            <v>200013.30979868336</v>
          </cell>
          <cell r="S43">
            <v>0</v>
          </cell>
        </row>
        <row r="44">
          <cell r="Q44">
            <v>2080712.2221162112</v>
          </cell>
          <cell r="S44">
            <v>0</v>
          </cell>
        </row>
        <row r="45">
          <cell r="Q45">
            <v>27547400.715580583</v>
          </cell>
          <cell r="S45">
            <v>5123183.5321057141</v>
          </cell>
        </row>
        <row r="46">
          <cell r="R46">
            <v>0</v>
          </cell>
          <cell r="S46">
            <v>651100.84915561497</v>
          </cell>
        </row>
        <row r="47">
          <cell r="R47">
            <v>0</v>
          </cell>
          <cell r="S47">
            <v>4038723.8145215148</v>
          </cell>
        </row>
        <row r="48">
          <cell r="R48">
            <v>99838204.904112145</v>
          </cell>
          <cell r="S48">
            <v>15941694.695162669</v>
          </cell>
        </row>
        <row r="49">
          <cell r="Q49">
            <v>5824029.3292624773</v>
          </cell>
          <cell r="S49">
            <v>0</v>
          </cell>
        </row>
        <row r="50">
          <cell r="Q50">
            <v>5005656.1015170347</v>
          </cell>
          <cell r="S50">
            <v>2323784.1045701746</v>
          </cell>
        </row>
        <row r="51">
          <cell r="R51">
            <v>2536172.2927201604</v>
          </cell>
          <cell r="S51">
            <v>0</v>
          </cell>
        </row>
        <row r="52">
          <cell r="Q52">
            <v>159687.48211048558</v>
          </cell>
        </row>
        <row r="53">
          <cell r="R53">
            <v>715318.79591642029</v>
          </cell>
        </row>
        <row r="54">
          <cell r="Q54">
            <v>99742.972998759782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2.1.7 - System OM (2-AB)"/>
      <sheetName val="Hidden_CAPEX"/>
      <sheetName val="App.2-AC_Customer Engagement"/>
      <sheetName val="App.2-B_Acctg Instructions"/>
      <sheetName val="App.2-BA_Fixed Asset Cont"/>
      <sheetName val="Appendix 2-BB Service Life  "/>
      <sheetName val="App.2-C_DepExp"/>
      <sheetName val="App.2-D_Overhead"/>
      <sheetName val="App.2-EA_Account 1575 (2015)"/>
      <sheetName val="App.2-EB_Account 1576 (2012)"/>
      <sheetName val="App.2-EC_Account 1576 (2013)"/>
      <sheetName val="Hidden_REG Invest."/>
      <sheetName val="Hidden_REG Improvement"/>
      <sheetName val="Hidden_REG Expansion"/>
      <sheetName val="App.2-FA Proposed REG Invest."/>
      <sheetName val="App.2-FB Calc of REG Improvemnt"/>
      <sheetName val="2.1.5.6"/>
      <sheetName val="App.2-FC Calc of REG Expansion"/>
      <sheetName val="App.2-G SQI"/>
      <sheetName val="2.1.4 SAIDI SAIFI"/>
      <sheetName val="2.1.4_ServiceQuality"/>
      <sheetName val="2018 Adjusted SAIDI and SAIFI"/>
      <sheetName val="2019 Adjusted SAIDI and SAIFI"/>
      <sheetName val="2020"/>
      <sheetName val="2.1.4_ServiceQuality old"/>
      <sheetName val="App.2-H_Other_Oper_Rev"/>
      <sheetName val="Hidden_Other Revenue"/>
      <sheetName val="Several_Accounts"/>
      <sheetName val="App_2-I LF_CDM"/>
      <sheetName val="lists"/>
      <sheetName val="2.1.7  All Accounts"/>
      <sheetName val="App.2-IA_Load_Forecast_Instrct"/>
      <sheetName val="App.2-IB_Load_Forecast_Analysis"/>
      <sheetName val="2.1.2"/>
      <sheetName val="2.1.5.4"/>
      <sheetName val="App.2-JA_OM&amp;A_Summary_Analys"/>
      <sheetName val="Hidden_OM&amp;A Summary"/>
      <sheetName val="OM&amp;A_Expenses"/>
      <sheetName val="App.2-JB_OM&amp;A_Cost _Drivers"/>
      <sheetName val="App.2-JC_OMA Programs"/>
      <sheetName val="App.2-JD_OMA Programs"/>
      <sheetName val="App.2-K_Employee Costs"/>
      <sheetName val="Hidden_Employee Costs"/>
      <sheetName val="FTE"/>
      <sheetName val="App.2-L_OM&amp;A_per_Cust_FTE"/>
      <sheetName val="App.2-L_OM&amp;A_per_Cust_FTEE_exp"/>
      <sheetName val="App.2-M_Regulatory_Costs"/>
      <sheetName val="Hidden_RegulatoryCosts1"/>
      <sheetName val="Hidden_RegulatoryCosts2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ZA_Com. Exp. Forecast"/>
      <sheetName val="App.2-ZB_Cost of Power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>
        <row r="24">
          <cell r="E24">
            <v>2024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>
        <row r="16">
          <cell r="L16">
            <v>11606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>
        <row r="27">
          <cell r="J27">
            <v>1.0522285729150791</v>
          </cell>
        </row>
      </sheetData>
      <sheetData sheetId="61" refreshError="1"/>
      <sheetData sheetId="62">
        <row r="171">
          <cell r="E171">
            <v>19997771.38774861</v>
          </cell>
        </row>
      </sheetData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8">
          <cell r="B8">
            <v>498976676.05552793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 refreshError="1">
        <row r="13">
          <cell r="C13">
            <v>2009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P47"/>
  <sheetViews>
    <sheetView zoomScale="78" zoomScaleNormal="78" workbookViewId="0">
      <selection activeCell="M11" sqref="M11"/>
    </sheetView>
  </sheetViews>
  <sheetFormatPr defaultRowHeight="12.75" x14ac:dyDescent="0.2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  <col min="15" max="15" width="17.140625" customWidth="1"/>
    <col min="16" max="16" width="12.5703125" bestFit="1" customWidth="1"/>
  </cols>
  <sheetData>
    <row r="1" spans="1:15" ht="15.75" x14ac:dyDescent="0.25">
      <c r="A1" s="31" t="s">
        <v>143</v>
      </c>
    </row>
    <row r="3" spans="1:15" ht="25.5" x14ac:dyDescent="0.2">
      <c r="B3" s="33" t="s">
        <v>75</v>
      </c>
      <c r="C3" s="33" t="s">
        <v>152</v>
      </c>
      <c r="D3" s="33" t="s">
        <v>65</v>
      </c>
      <c r="E3" s="33" t="s">
        <v>66</v>
      </c>
      <c r="F3" s="33" t="s">
        <v>69</v>
      </c>
      <c r="G3" s="33" t="s">
        <v>76</v>
      </c>
      <c r="H3" s="33" t="s">
        <v>77</v>
      </c>
      <c r="I3" s="33" t="s">
        <v>153</v>
      </c>
      <c r="J3" s="33" t="s">
        <v>154</v>
      </c>
      <c r="K3" s="33" t="s">
        <v>155</v>
      </c>
      <c r="L3" s="33" t="s">
        <v>156</v>
      </c>
      <c r="M3" s="33" t="s">
        <v>157</v>
      </c>
      <c r="O3" s="33" t="s">
        <v>186</v>
      </c>
    </row>
    <row r="4" spans="1:15" x14ac:dyDescent="0.2">
      <c r="A4" s="15" t="s">
        <v>52</v>
      </c>
      <c r="B4" s="22">
        <f>+'Purchased Power Model'!D152</f>
        <v>253794532.28605214</v>
      </c>
      <c r="C4" s="22">
        <f>+'Purchased Power Model'!D153</f>
        <v>256463675.28359121</v>
      </c>
      <c r="D4" s="22">
        <f>+'Purchased Power Model'!D154</f>
        <v>256374688.63650927</v>
      </c>
      <c r="E4" s="22">
        <f>+'Purchased Power Model'!D155</f>
        <v>259210018.63999999</v>
      </c>
      <c r="F4" s="22">
        <f>+'Purchased Power Model'!D156</f>
        <v>254048366.90000001</v>
      </c>
      <c r="G4" s="22">
        <f>+'Purchased Power Model'!D157</f>
        <v>266473255.97205046</v>
      </c>
      <c r="H4" s="22">
        <f>+'Purchased Power Model'!D158</f>
        <v>261985353.56</v>
      </c>
      <c r="I4" s="22">
        <f>+'Purchased Power Model'!D159</f>
        <v>263490930.20000002</v>
      </c>
      <c r="J4" s="22">
        <f>+'Purchased Power Model'!D160</f>
        <v>268727921.99999994</v>
      </c>
      <c r="K4" s="22">
        <f>+'Purchased Power Model'!D161</f>
        <v>275977471.30408913</v>
      </c>
      <c r="O4" s="113">
        <f>+[10]Summary!M4</f>
        <v>0</v>
      </c>
    </row>
    <row r="5" spans="1:15" x14ac:dyDescent="0.2">
      <c r="A5" s="15" t="s">
        <v>53</v>
      </c>
      <c r="B5" s="22">
        <f>+'Purchased Power Model'!N152</f>
        <v>251533693.58879703</v>
      </c>
      <c r="C5" s="22">
        <f>+'Purchased Power Model'!N153</f>
        <v>253556301.02569917</v>
      </c>
      <c r="D5" s="22">
        <f>+'Purchased Power Model'!N154</f>
        <v>255727922.66187942</v>
      </c>
      <c r="E5" s="22">
        <f>+'Purchased Power Model'!N155</f>
        <v>261639329.47235405</v>
      </c>
      <c r="F5" s="22">
        <f>+'Purchased Power Model'!N156</f>
        <v>258052709.48889771</v>
      </c>
      <c r="G5" s="22">
        <f>+'Purchased Power Model'!N157</f>
        <v>265791999.93549296</v>
      </c>
      <c r="H5" s="22">
        <f>+'Purchased Power Model'!N158</f>
        <v>264427475.99361259</v>
      </c>
      <c r="I5" s="22">
        <f>+'Purchased Power Model'!N159</f>
        <v>265846091.2069304</v>
      </c>
      <c r="J5" s="22">
        <f>+'Purchased Power Model'!N160</f>
        <v>267553382.3857789</v>
      </c>
      <c r="K5" s="22">
        <f>+'Purchased Power Model'!N161</f>
        <v>275977471.30408889</v>
      </c>
      <c r="L5" s="22">
        <f>+'Purchased Power Model'!N162</f>
        <v>268642823.33373272</v>
      </c>
      <c r="M5" s="22">
        <f>+'Purchased Power Model'!N163</f>
        <v>273612605.66577506</v>
      </c>
      <c r="O5" s="113">
        <f>+[10]Summary!M5</f>
        <v>266100000</v>
      </c>
    </row>
    <row r="6" spans="1:15" x14ac:dyDescent="0.2">
      <c r="A6" s="15" t="s">
        <v>10</v>
      </c>
      <c r="B6" s="32">
        <f t="shared" ref="B6:G6" si="0">(B5-B4)/B4</f>
        <v>-8.9081458016081715E-3</v>
      </c>
      <c r="C6" s="32">
        <f t="shared" si="0"/>
        <v>-1.1336397853135106E-2</v>
      </c>
      <c r="D6" s="32">
        <f t="shared" si="0"/>
        <v>-2.522737240831293E-3</v>
      </c>
      <c r="E6" s="32">
        <f t="shared" si="0"/>
        <v>9.3719789269718825E-3</v>
      </c>
      <c r="F6" s="32">
        <f t="shared" si="0"/>
        <v>1.576212686489702E-2</v>
      </c>
      <c r="G6" s="32">
        <f t="shared" si="0"/>
        <v>-2.5565643879434954E-3</v>
      </c>
      <c r="H6" s="32">
        <f>(H5-H4)/H4</f>
        <v>9.3215990910472373E-3</v>
      </c>
      <c r="I6" s="32">
        <f>(I5-I4)/I4</f>
        <v>8.9383000968675502E-3</v>
      </c>
      <c r="J6" s="32">
        <f t="shared" ref="J6:K6" si="1">(J5-J4)/J4</f>
        <v>-4.3707390191520057E-3</v>
      </c>
      <c r="K6" s="32">
        <f t="shared" si="1"/>
        <v>-8.6390594846366312E-16</v>
      </c>
      <c r="O6" s="113">
        <f>+[10]Summary!M6</f>
        <v>0</v>
      </c>
    </row>
    <row r="7" spans="1:15" x14ac:dyDescent="0.2">
      <c r="A7" s="15"/>
      <c r="B7" s="32"/>
      <c r="C7" s="32"/>
      <c r="D7" s="32"/>
      <c r="E7" s="32"/>
      <c r="F7" s="32"/>
      <c r="G7" s="32"/>
      <c r="H7" s="32"/>
      <c r="I7" s="32"/>
      <c r="J7" s="32"/>
      <c r="K7" s="32"/>
      <c r="L7" s="22"/>
      <c r="M7" s="22"/>
      <c r="O7" s="113">
        <f>+[10]Summary!M7</f>
        <v>0</v>
      </c>
    </row>
    <row r="8" spans="1:15" x14ac:dyDescent="0.2">
      <c r="A8" s="15"/>
      <c r="B8" s="32"/>
      <c r="C8" s="32"/>
      <c r="D8" s="32"/>
      <c r="E8" s="32"/>
      <c r="F8" s="32"/>
      <c r="G8" s="32"/>
      <c r="H8" s="32"/>
      <c r="I8" s="32"/>
      <c r="J8" s="32"/>
      <c r="K8" s="32"/>
      <c r="L8" s="40"/>
      <c r="M8" s="40"/>
    </row>
    <row r="9" spans="1:15" x14ac:dyDescent="0.2">
      <c r="A9" s="15"/>
      <c r="B9" s="32"/>
      <c r="C9" s="32"/>
      <c r="D9" s="32"/>
      <c r="E9" s="32"/>
      <c r="F9" s="32"/>
      <c r="G9" s="32"/>
      <c r="H9" s="32"/>
      <c r="I9" s="32"/>
      <c r="J9" s="32"/>
      <c r="K9" s="32"/>
      <c r="O9" s="113">
        <f>+[10]Summary!M8</f>
        <v>252033687.41449282</v>
      </c>
    </row>
    <row r="10" spans="1:15" x14ac:dyDescent="0.2">
      <c r="A10" s="15" t="s">
        <v>78</v>
      </c>
      <c r="B10" s="6">
        <f>'Rate Class Energy Model'!G3</f>
        <v>244740325.18550813</v>
      </c>
      <c r="C10" s="6">
        <f>'Rate Class Energy Model'!G4</f>
        <v>246477011.33039564</v>
      </c>
      <c r="D10" s="6">
        <f>'Rate Class Energy Model'!G5</f>
        <v>246477011.33292255</v>
      </c>
      <c r="E10" s="6">
        <f>'Rate Class Energy Model'!G6</f>
        <v>248540423.96402004</v>
      </c>
      <c r="F10" s="6">
        <f>'Rate Class Energy Model'!G7</f>
        <v>244614082.01926133</v>
      </c>
      <c r="G10" s="6">
        <f>'Rate Class Energy Model'!G8</f>
        <v>256748351.60430366</v>
      </c>
      <c r="H10" s="6">
        <f>'Rate Class Energy Model'!G9</f>
        <v>252725977.76269531</v>
      </c>
      <c r="I10" s="6">
        <f>'Rate Class Energy Model'!G10</f>
        <v>254347082.62766621</v>
      </c>
      <c r="J10" s="6">
        <f>'Rate Class Energy Model'!G11</f>
        <v>260728373.56735688</v>
      </c>
      <c r="K10" s="6">
        <f>'Rate Class Energy Model'!G12</f>
        <v>268116945.72267458</v>
      </c>
      <c r="L10" s="6">
        <f>'Rate Class Energy Model'!G14</f>
        <v>259066908.31541246</v>
      </c>
      <c r="M10" s="6">
        <f>'Rate Class Energy Model'!G15</f>
        <v>263859540.13704619</v>
      </c>
      <c r="O10" s="113">
        <f>+[10]Summary!M9</f>
        <v>252.03368741449282</v>
      </c>
    </row>
    <row r="11" spans="1:15" x14ac:dyDescent="0.2">
      <c r="A11" s="15" t="s">
        <v>185</v>
      </c>
      <c r="B11" s="124">
        <f>B10/1000000</f>
        <v>244.74032518550814</v>
      </c>
      <c r="C11" s="124">
        <f t="shared" ref="C11:M11" si="2">C10/1000000</f>
        <v>246.47701133039564</v>
      </c>
      <c r="D11" s="124">
        <f t="shared" si="2"/>
        <v>246.47701133292256</v>
      </c>
      <c r="E11" s="124">
        <f t="shared" si="2"/>
        <v>248.54042396402005</v>
      </c>
      <c r="F11" s="124">
        <f t="shared" si="2"/>
        <v>244.61408201926133</v>
      </c>
      <c r="G11" s="124">
        <f t="shared" si="2"/>
        <v>256.74835160430365</v>
      </c>
      <c r="H11" s="124">
        <f t="shared" si="2"/>
        <v>252.72597776269532</v>
      </c>
      <c r="I11" s="124">
        <f t="shared" si="2"/>
        <v>254.3470826276662</v>
      </c>
      <c r="J11" s="124">
        <f t="shared" si="2"/>
        <v>260.72837356735687</v>
      </c>
      <c r="K11" s="124">
        <f t="shared" si="2"/>
        <v>268.11694572267459</v>
      </c>
      <c r="L11" s="124">
        <f t="shared" si="2"/>
        <v>259.06690831541243</v>
      </c>
      <c r="M11" s="124">
        <f t="shared" si="2"/>
        <v>263.85954013704617</v>
      </c>
      <c r="O11" s="113">
        <f>+[10]Summary!M10</f>
        <v>0</v>
      </c>
    </row>
    <row r="12" spans="1:15" ht="15.75" x14ac:dyDescent="0.25">
      <c r="A12" s="31" t="s">
        <v>54</v>
      </c>
      <c r="C12" s="1"/>
      <c r="E12" s="1"/>
      <c r="H12" s="40"/>
      <c r="L12" s="197"/>
      <c r="M12" s="197"/>
      <c r="O12" s="113">
        <f>+[10]Summary!M11</f>
        <v>0</v>
      </c>
    </row>
    <row r="13" spans="1:15" x14ac:dyDescent="0.2">
      <c r="A13" s="30" t="str">
        <f>'Rate Class Energy Model'!H2</f>
        <v xml:space="preserve">Residential </v>
      </c>
      <c r="C13" s="1"/>
      <c r="D13" s="1"/>
      <c r="E13" s="1"/>
      <c r="H13" s="6"/>
      <c r="I13" s="6"/>
      <c r="J13" s="6"/>
      <c r="K13" s="6"/>
      <c r="L13" s="6"/>
      <c r="M13" s="6"/>
      <c r="O13" s="113">
        <f>+[10]Summary!M12</f>
        <v>10324.921892397642</v>
      </c>
    </row>
    <row r="14" spans="1:15" x14ac:dyDescent="0.2">
      <c r="A14" t="s">
        <v>46</v>
      </c>
      <c r="B14" s="6">
        <f>'Rate Class Customer Model'!B11</f>
        <v>10211.583333333334</v>
      </c>
      <c r="C14" s="6">
        <f>'Rate Class Customer Model'!B12</f>
        <v>10344.166666666666</v>
      </c>
      <c r="D14" s="6">
        <f>'Rate Class Customer Model'!B13</f>
        <v>10502.083333333334</v>
      </c>
      <c r="E14" s="6">
        <f>'Rate Class Customer Model'!B14</f>
        <v>10634.083333333334</v>
      </c>
      <c r="F14" s="6">
        <f>'Rate Class Customer Model'!B15</f>
        <v>10912.666666666666</v>
      </c>
      <c r="G14" s="6">
        <f>'Rate Class Customer Model'!B16</f>
        <v>11219.083333333334</v>
      </c>
      <c r="H14" s="6">
        <f>'Rate Class Customer Model'!B17</f>
        <v>11336</v>
      </c>
      <c r="I14" s="6">
        <f>'Rate Class Customer Model'!B18</f>
        <v>11381.916666666666</v>
      </c>
      <c r="J14" s="6">
        <f>'Rate Class Customer Model'!B19</f>
        <v>11468.75</v>
      </c>
      <c r="K14" s="6">
        <f>'Rate Class Customer Model'!B20</f>
        <v>11526.25</v>
      </c>
      <c r="L14" s="6">
        <f>'Rate Class Customer Model'!B21</f>
        <v>11612.666666666666</v>
      </c>
      <c r="M14" s="6">
        <f>'Rate Class Customer Model'!B22</f>
        <v>11740.5</v>
      </c>
      <c r="N14" s="40"/>
      <c r="O14" s="113">
        <f>+[10]Summary!M13</f>
        <v>90278404.207778618</v>
      </c>
    </row>
    <row r="15" spans="1:15" x14ac:dyDescent="0.2">
      <c r="A15" t="s">
        <v>47</v>
      </c>
      <c r="B15" s="6">
        <f>'Rate Class Energy Model'!H3</f>
        <v>86202261.746603757</v>
      </c>
      <c r="C15" s="6">
        <f>'Rate Class Energy Model'!H4</f>
        <v>85816558.384570569</v>
      </c>
      <c r="D15" s="6">
        <f>'Rate Class Energy Model'!H5</f>
        <v>85926418.71876052</v>
      </c>
      <c r="E15" s="39">
        <f>'Rate Class Energy Model'!H6</f>
        <v>86214190.382619157</v>
      </c>
      <c r="F15" s="6">
        <f>'Rate Class Energy Model'!H7</f>
        <v>83878663.289841563</v>
      </c>
      <c r="G15" s="6">
        <f>'Rate Class Energy Model'!H8</f>
        <v>91709432.73716554</v>
      </c>
      <c r="H15" s="6">
        <f>'Rate Class Energy Model'!H9</f>
        <v>89180443.270875081</v>
      </c>
      <c r="I15" s="6">
        <f>'Rate Class Energy Model'!H10</f>
        <v>95587067.984431669</v>
      </c>
      <c r="J15" s="6">
        <f>'Rate Class Energy Model'!H11</f>
        <v>95087325.556198344</v>
      </c>
      <c r="K15" s="6">
        <f>'Rate Class Energy Model'!H12</f>
        <v>95371627.720710099</v>
      </c>
      <c r="L15" s="6">
        <f>'Rate Class Energy Model'!H32</f>
        <v>91628868.162093714</v>
      </c>
      <c r="M15" s="6">
        <f>'Rate Class Energy Model'!H33</f>
        <v>94221374.619588077</v>
      </c>
      <c r="N15" s="40"/>
      <c r="O15" s="113">
        <f>+[10]Summary!M14</f>
        <v>90.278404207778621</v>
      </c>
    </row>
    <row r="16" spans="1:15" x14ac:dyDescent="0.2">
      <c r="C16" s="39"/>
      <c r="F16" s="40"/>
      <c r="G16" s="40"/>
      <c r="I16" s="40"/>
      <c r="J16" s="40"/>
      <c r="K16" s="40"/>
      <c r="L16" s="40"/>
      <c r="M16" s="40"/>
      <c r="N16" s="40"/>
      <c r="O16" s="113">
        <f>+[10]Summary!M15</f>
        <v>0</v>
      </c>
    </row>
    <row r="17" spans="1:15" x14ac:dyDescent="0.2">
      <c r="A17" s="30" t="str">
        <f>'Rate Class Energy Model'!I2</f>
        <v>General Service &lt; 50 kW</v>
      </c>
      <c r="C17" s="50"/>
      <c r="D17" s="1"/>
      <c r="E17" s="1"/>
      <c r="F17" s="1"/>
      <c r="G17" s="6"/>
      <c r="H17" s="6"/>
      <c r="I17" s="6"/>
      <c r="J17" s="6"/>
      <c r="K17" s="6"/>
      <c r="L17" s="6"/>
      <c r="M17" s="6"/>
      <c r="N17" s="40"/>
      <c r="O17" s="113">
        <f>+[10]Summary!M16</f>
        <v>1140.8484921040983</v>
      </c>
    </row>
    <row r="18" spans="1:15" ht="13.5" customHeight="1" x14ac:dyDescent="0.2">
      <c r="A18" t="s">
        <v>46</v>
      </c>
      <c r="B18" s="6">
        <f>'Rate Class Customer Model'!C11</f>
        <v>1122.75</v>
      </c>
      <c r="C18" s="6">
        <f>'Rate Class Customer Model'!C12</f>
        <v>1138.4166666666667</v>
      </c>
      <c r="D18" s="6">
        <f>'Rate Class Customer Model'!C13</f>
        <v>1133.75</v>
      </c>
      <c r="E18" s="6">
        <f>'Rate Class Customer Model'!C14</f>
        <v>1133.0833333333333</v>
      </c>
      <c r="F18" s="6">
        <f>'Rate Class Customer Model'!C15</f>
        <v>1143.1666666666667</v>
      </c>
      <c r="G18" s="6">
        <f>'Rate Class Customer Model'!C16</f>
        <v>1154.5</v>
      </c>
      <c r="H18" s="6">
        <f>'Rate Class Customer Model'!C17</f>
        <v>1164.0833333333333</v>
      </c>
      <c r="I18" s="6">
        <f>'Rate Class Customer Model'!C18</f>
        <v>1163.8333333333333</v>
      </c>
      <c r="J18" s="6">
        <f>'Rate Class Customer Model'!C19</f>
        <v>1166.5833333333333</v>
      </c>
      <c r="K18" s="6">
        <f>'Rate Class Customer Model'!C20</f>
        <v>1166.5</v>
      </c>
      <c r="L18" s="6">
        <f>'Rate Class Customer Model'!C21</f>
        <v>1164.25</v>
      </c>
      <c r="M18" s="6">
        <f>'Rate Class Customer Model'!C22</f>
        <v>1168.4834481663743</v>
      </c>
      <c r="N18" s="40"/>
      <c r="O18" s="113">
        <f>+[10]Summary!M17</f>
        <v>37678912.33805047</v>
      </c>
    </row>
    <row r="19" spans="1:15" x14ac:dyDescent="0.2">
      <c r="A19" t="s">
        <v>47</v>
      </c>
      <c r="B19" s="6">
        <f>'Rate Class Energy Model'!I3</f>
        <v>36449901.791789994</v>
      </c>
      <c r="C19" s="6">
        <f>'Rate Class Energy Model'!I4</f>
        <v>35415553.049546637</v>
      </c>
      <c r="D19" s="6">
        <f>'Rate Class Energy Model'!I5</f>
        <v>34168176.853738427</v>
      </c>
      <c r="E19" s="6">
        <f>'Rate Class Energy Model'!I6</f>
        <v>34455638.026827835</v>
      </c>
      <c r="F19" s="6">
        <f>'Rate Class Energy Model'!I7</f>
        <v>34387085.601475</v>
      </c>
      <c r="G19" s="6">
        <f>'Rate Class Energy Model'!I8</f>
        <v>35759952.621808477</v>
      </c>
      <c r="H19" s="6">
        <f>'Rate Class Energy Model'!I9</f>
        <v>34942744.746606827</v>
      </c>
      <c r="I19" s="6">
        <f>'Rate Class Energy Model'!I10</f>
        <v>33629605.964253612</v>
      </c>
      <c r="J19" s="6">
        <f>'Rate Class Energy Model'!I11</f>
        <v>33533529.262311421</v>
      </c>
      <c r="K19" s="6">
        <f>'Rate Class Energy Model'!I12</f>
        <v>35235863.474724725</v>
      </c>
      <c r="L19" s="6">
        <f>'Rate Class Energy Model'!I32</f>
        <v>33536336.924245115</v>
      </c>
      <c r="M19" s="6">
        <f>'Rate Class Energy Model'!I33</f>
        <v>34233745.966155298</v>
      </c>
      <c r="N19" s="40"/>
      <c r="O19" s="113">
        <f>+[10]Summary!M18</f>
        <v>37.678912338050466</v>
      </c>
    </row>
    <row r="20" spans="1:15" x14ac:dyDescent="0.2">
      <c r="B20" s="6"/>
      <c r="C20" s="1"/>
      <c r="G20" s="40"/>
      <c r="I20" s="40"/>
      <c r="J20" s="40"/>
      <c r="K20" s="40"/>
      <c r="L20" s="40"/>
      <c r="M20" s="40"/>
      <c r="N20" s="40"/>
      <c r="O20" s="113">
        <f>+[10]Summary!M19</f>
        <v>0</v>
      </c>
    </row>
    <row r="21" spans="1:15" x14ac:dyDescent="0.2">
      <c r="A21" s="30" t="str">
        <f>'Rate Class Energy Model'!J2</f>
        <v>General Service &gt; 50 to 999 kW</v>
      </c>
      <c r="B21" s="6"/>
      <c r="C21" s="1"/>
      <c r="D21" s="1"/>
      <c r="E21" s="1"/>
      <c r="F21" s="1"/>
      <c r="N21" s="40"/>
      <c r="O21" s="113">
        <f>+[10]Summary!M20</f>
        <v>123.69498579758614</v>
      </c>
    </row>
    <row r="22" spans="1:15" x14ac:dyDescent="0.2">
      <c r="A22" t="s">
        <v>46</v>
      </c>
      <c r="B22" s="6">
        <f>'Rate Class Customer Model'!D11</f>
        <v>124.66666666666667</v>
      </c>
      <c r="C22" s="6">
        <f>'Rate Class Customer Model'!D12</f>
        <v>132.08333333333334</v>
      </c>
      <c r="D22" s="6">
        <f>'Rate Class Customer Model'!D13</f>
        <v>138.75</v>
      </c>
      <c r="E22" s="6">
        <f>'Rate Class Customer Model'!D14</f>
        <v>139.91666666666666</v>
      </c>
      <c r="F22" s="6">
        <f>'Rate Class Customer Model'!D15</f>
        <v>134.33333333333334</v>
      </c>
      <c r="G22" s="6">
        <f>'Rate Class Customer Model'!D16</f>
        <v>135.91666666666666</v>
      </c>
      <c r="H22" s="6">
        <f>'Rate Class Customer Model'!D17</f>
        <v>132.25</v>
      </c>
      <c r="I22" s="6">
        <f>'Rate Class Customer Model'!D18</f>
        <v>122.08333333333333</v>
      </c>
      <c r="J22" s="6">
        <f>'Rate Class Customer Model'!D19</f>
        <v>126</v>
      </c>
      <c r="K22" s="6">
        <f>'Rate Class Customer Model'!D20</f>
        <v>125.75</v>
      </c>
      <c r="L22" s="6">
        <f>'Rate Class Customer Model'!D21</f>
        <v>126</v>
      </c>
      <c r="M22" s="6">
        <f>'Rate Class Customer Model'!D22</f>
        <v>126.13411514324987</v>
      </c>
      <c r="N22" s="40"/>
      <c r="O22" s="113">
        <f>+[10]Summary!M21</f>
        <v>121733912.81420493</v>
      </c>
    </row>
    <row r="23" spans="1:15" x14ac:dyDescent="0.2">
      <c r="A23" t="s">
        <v>47</v>
      </c>
      <c r="B23" s="6">
        <f>'Rate Class Energy Model'!J3</f>
        <v>119884762.44284</v>
      </c>
      <c r="C23" s="6">
        <f>'Rate Class Energy Model'!J4</f>
        <v>123021881.80449331</v>
      </c>
      <c r="D23" s="6">
        <f>'Rate Class Energy Model'!J5</f>
        <v>124266046.18177828</v>
      </c>
      <c r="E23" s="6">
        <f>'Rate Class Energy Model'!J6</f>
        <v>126472988.41207671</v>
      </c>
      <c r="F23" s="6">
        <f>'Rate Class Energy Model'!J7</f>
        <v>125001047.73669259</v>
      </c>
      <c r="G23" s="6">
        <f>'Rate Class Energy Model'!J8</f>
        <v>127930297.35877302</v>
      </c>
      <c r="H23" s="6">
        <f>'Rate Class Energy Model'!J9</f>
        <v>127241231.81181008</v>
      </c>
      <c r="I23" s="6">
        <f>'Rate Class Energy Model'!J10</f>
        <v>123770623.32453001</v>
      </c>
      <c r="J23" s="6">
        <f>'Rate Class Energy Model'!J11</f>
        <v>130759586.91982318</v>
      </c>
      <c r="K23" s="6">
        <f>'Rate Class Energy Model'!J12</f>
        <v>136159366.09102184</v>
      </c>
      <c r="L23" s="6">
        <f>'Rate Class Energy Model'!J32</f>
        <v>132562052.31591827</v>
      </c>
      <c r="M23" s="6">
        <f>'Rate Class Energy Model'!J33</f>
        <v>134063931.78607029</v>
      </c>
      <c r="N23" s="40"/>
      <c r="O23" s="113">
        <f>+[10]Summary!M22</f>
        <v>293725.33462561422</v>
      </c>
    </row>
    <row r="24" spans="1:15" x14ac:dyDescent="0.2">
      <c r="A24" t="s">
        <v>48</v>
      </c>
      <c r="B24" s="6">
        <f>'Rate Class Load Model'!B2</f>
        <v>288316.92000000004</v>
      </c>
      <c r="C24" s="6">
        <f>'Rate Class Load Model'!B3</f>
        <v>293508.34999999998</v>
      </c>
      <c r="D24" s="6">
        <f>'Rate Class Load Model'!B4</f>
        <v>288680.5</v>
      </c>
      <c r="E24" s="6">
        <f>'Rate Class Load Model'!B5</f>
        <v>306871.28999999998</v>
      </c>
      <c r="F24" s="6">
        <f>'Rate Class Load Model'!B6</f>
        <v>295314.63</v>
      </c>
      <c r="G24" s="6">
        <f>'Rate Class Load Model'!B7</f>
        <v>297736.30999999994</v>
      </c>
      <c r="H24" s="6">
        <f>'Rate Class Load Model'!B8</f>
        <v>298865.18999999994</v>
      </c>
      <c r="I24" s="6">
        <f>'Rate Class Load Model'!B9</f>
        <v>278922.71999999997</v>
      </c>
      <c r="J24" s="6">
        <f>'Rate Class Load Model'!B10</f>
        <v>301675.62</v>
      </c>
      <c r="K24" s="6">
        <f>'Rate Class Load Model'!B11</f>
        <v>317681.46000000008</v>
      </c>
      <c r="L24" s="6">
        <f>'Rate Class Load Model'!B12</f>
        <v>312524.7633633946</v>
      </c>
      <c r="M24" s="6">
        <f>'Rate Class Load Model'!B13</f>
        <v>316065.55439528805</v>
      </c>
      <c r="N24" s="40"/>
      <c r="O24" s="113">
        <f>+[10]Summary!M23</f>
        <v>121.73391281420493</v>
      </c>
    </row>
    <row r="25" spans="1:15" x14ac:dyDescent="0.2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40"/>
      <c r="O25" s="113">
        <f>+[10]Summary!M24</f>
        <v>0</v>
      </c>
    </row>
    <row r="26" spans="1:15" x14ac:dyDescent="0.2">
      <c r="A26" s="30" t="str">
        <f>'Rate Class Energy Model'!K2</f>
        <v>Street Lights</v>
      </c>
      <c r="E26" s="1"/>
      <c r="F26" s="1"/>
      <c r="H26" s="1"/>
      <c r="K26" s="6"/>
      <c r="N26" s="40"/>
      <c r="O26" s="113">
        <f>+[10]Summary!M25</f>
        <v>2869.6628833825698</v>
      </c>
    </row>
    <row r="27" spans="1:15" x14ac:dyDescent="0.2">
      <c r="A27" t="s">
        <v>49</v>
      </c>
      <c r="B27" s="6">
        <f>'Rate Class Customer Model'!E11</f>
        <v>2853.9166666666665</v>
      </c>
      <c r="C27" s="6">
        <f>'Rate Class Customer Model'!E12</f>
        <v>2895.75</v>
      </c>
      <c r="D27" s="6">
        <f>'Rate Class Customer Model'!E13</f>
        <v>2916.25</v>
      </c>
      <c r="E27" s="6">
        <f>'Rate Class Customer Model'!E14</f>
        <v>2852.25</v>
      </c>
      <c r="F27" s="6">
        <f>'Rate Class Customer Model'!E15</f>
        <v>2876.75</v>
      </c>
      <c r="G27" s="6">
        <f>'Rate Class Customer Model'!E16</f>
        <v>2900</v>
      </c>
      <c r="H27" s="6">
        <f>'Rate Class Customer Model'!E17</f>
        <v>2939</v>
      </c>
      <c r="I27" s="6">
        <f>'Rate Class Customer Model'!E18</f>
        <v>2944.1666666666665</v>
      </c>
      <c r="J27" s="6">
        <f>'Rate Class Customer Model'!E19</f>
        <v>2965.9166666666665</v>
      </c>
      <c r="K27" s="6">
        <f>'Rate Class Customer Model'!E20</f>
        <v>2985</v>
      </c>
      <c r="L27" s="6">
        <f>'Rate Class Customer Model'!E21</f>
        <v>2963</v>
      </c>
      <c r="M27" s="6">
        <f>'Rate Class Customer Model'!E22</f>
        <v>2974.135068550856</v>
      </c>
      <c r="N27" s="40"/>
      <c r="O27" s="113">
        <f>+[10]Summary!M26</f>
        <v>1861617.8068174501</v>
      </c>
    </row>
    <row r="28" spans="1:15" x14ac:dyDescent="0.2">
      <c r="A28" t="s">
        <v>47</v>
      </c>
      <c r="B28" s="6">
        <f>'Rate Class Energy Model'!K3</f>
        <v>1712978.1604808702</v>
      </c>
      <c r="C28" s="6">
        <f>'Rate Class Energy Model'!K4</f>
        <v>1731641.5322965365</v>
      </c>
      <c r="D28" s="6">
        <f>'Rate Class Energy Model'!K5</f>
        <v>1629825.7799828262</v>
      </c>
      <c r="E28" s="6">
        <f>'Rate Class Energy Model'!K6</f>
        <v>890659.09741436888</v>
      </c>
      <c r="F28" s="6">
        <f>'Rate Class Energy Model'!K7</f>
        <v>863294.61883408076</v>
      </c>
      <c r="G28" s="6">
        <f>'Rate Class Energy Model'!K8</f>
        <v>870905.41933021648</v>
      </c>
      <c r="H28" s="6">
        <f>'Rate Class Energy Model'!K9</f>
        <v>883464.17326590978</v>
      </c>
      <c r="I28" s="6">
        <f>'Rate Class Energy Model'!K10</f>
        <v>881690.64974716154</v>
      </c>
      <c r="J28" s="6">
        <f>'Rate Class Energy Model'!K11</f>
        <v>870117.8322679135</v>
      </c>
      <c r="K28" s="6">
        <f>'Rate Class Energy Model'!K12</f>
        <v>875006.27802690573</v>
      </c>
      <c r="L28" s="6">
        <f>'Rate Class Energy Model'!K32</f>
        <v>868557.32053391018</v>
      </c>
      <c r="M28" s="6">
        <f>'Rate Class Energy Model'!K33</f>
        <v>871821.39252327662</v>
      </c>
      <c r="N28" s="40"/>
      <c r="O28" s="113">
        <f>+[10]Summary!M27</f>
        <v>5229.9860393372019</v>
      </c>
    </row>
    <row r="29" spans="1:15" x14ac:dyDescent="0.2">
      <c r="A29" t="s">
        <v>48</v>
      </c>
      <c r="B29" s="6">
        <f>'Rate Class Load Model'!C2</f>
        <v>4780.3</v>
      </c>
      <c r="C29" s="6">
        <f>'Rate Class Load Model'!C3</f>
        <v>4826.93</v>
      </c>
      <c r="D29" s="6">
        <f>'Rate Class Load Model'!C4</f>
        <v>4599.0700000000006</v>
      </c>
      <c r="E29" s="6">
        <f>'Rate Class Load Model'!C5</f>
        <v>2461.8700000000003</v>
      </c>
      <c r="F29" s="6">
        <f>'Rate Class Load Model'!C6</f>
        <v>2404.58</v>
      </c>
      <c r="G29" s="6">
        <f>'Rate Class Load Model'!C7</f>
        <v>2423.3099999999995</v>
      </c>
      <c r="H29" s="6">
        <f>'Rate Class Load Model'!C8</f>
        <v>2459.6399999999994</v>
      </c>
      <c r="I29" s="6">
        <f>'Rate Class Load Model'!C9</f>
        <v>2445.92</v>
      </c>
      <c r="J29" s="6">
        <f>'Rate Class Load Model'!C10</f>
        <v>2420.3500000000004</v>
      </c>
      <c r="K29" s="6">
        <f>'Rate Class Load Model'!C11</f>
        <v>2434.08</v>
      </c>
      <c r="L29" s="6">
        <f>'Rate Class Load Model'!C12</f>
        <v>2436.1070625659263</v>
      </c>
      <c r="M29" s="6">
        <f>'Rate Class Load Model'!C13</f>
        <v>2445.262047087997</v>
      </c>
      <c r="N29" s="40">
        <f>+'Rate Class Customer Model'!B26</f>
        <v>1.0129836215408972</v>
      </c>
      <c r="O29" s="113">
        <f>+[10]Summary!M28</f>
        <v>1.86161780681745</v>
      </c>
    </row>
    <row r="30" spans="1:15" x14ac:dyDescent="0.2">
      <c r="H30" s="6"/>
      <c r="I30" s="6"/>
      <c r="K30" s="6"/>
      <c r="L30" s="6"/>
      <c r="M30" s="6"/>
      <c r="O30" s="113">
        <f>+[10]Summary!M29</f>
        <v>0</v>
      </c>
    </row>
    <row r="31" spans="1:15" x14ac:dyDescent="0.2">
      <c r="A31" s="30" t="str">
        <f>'Rate Class Energy Model'!L2</f>
        <v>Sentinel Lights</v>
      </c>
      <c r="E31" s="1"/>
      <c r="G31" s="1"/>
      <c r="K31" s="19"/>
      <c r="O31" s="113">
        <f>+[10]Summary!M30</f>
        <v>155.48547729973458</v>
      </c>
    </row>
    <row r="32" spans="1:15" x14ac:dyDescent="0.2">
      <c r="A32" t="s">
        <v>49</v>
      </c>
      <c r="B32" s="6">
        <f>'Rate Class Customer Model'!F11</f>
        <v>156</v>
      </c>
      <c r="C32" s="6">
        <f>'Rate Class Customer Model'!F12</f>
        <v>152.16666666666666</v>
      </c>
      <c r="D32" s="6">
        <f>'Rate Class Customer Model'!F13</f>
        <v>150.83333333333334</v>
      </c>
      <c r="E32" s="6">
        <f>'Rate Class Customer Model'!F14</f>
        <v>152.41666666666666</v>
      </c>
      <c r="F32" s="6">
        <f>'Rate Class Customer Model'!F15</f>
        <v>150.83333333333334</v>
      </c>
      <c r="G32" s="6">
        <f>'Rate Class Customer Model'!F16</f>
        <v>153.66666666666666</v>
      </c>
      <c r="H32" s="6">
        <f>'Rate Class Customer Model'!F17</f>
        <v>155.5</v>
      </c>
      <c r="I32" s="6">
        <f>'Rate Class Customer Model'!F18</f>
        <v>157.66666666666666</v>
      </c>
      <c r="J32" s="6">
        <f>'Rate Class Customer Model'!F19</f>
        <v>158</v>
      </c>
      <c r="K32" s="6">
        <f>'Rate Class Customer Model'!F20</f>
        <v>157.25</v>
      </c>
      <c r="L32" s="6">
        <f>'Rate Class Customer Model'!F21</f>
        <v>157</v>
      </c>
      <c r="M32" s="6">
        <f>'Rate Class Customer Model'!F22</f>
        <v>157.10035188815147</v>
      </c>
      <c r="O32" s="113">
        <f>+[10]Summary!M31</f>
        <v>122535.77700319083</v>
      </c>
    </row>
    <row r="33" spans="1:16" x14ac:dyDescent="0.2">
      <c r="A33" t="s">
        <v>47</v>
      </c>
      <c r="B33" s="6">
        <f>'Rate Class Energy Model'!L3</f>
        <v>106011.51098813729</v>
      </c>
      <c r="C33" s="6">
        <f>'Rate Class Energy Model'!L4</f>
        <v>105133.19775921054</v>
      </c>
      <c r="D33" s="6">
        <f>'Rate Class Energy Model'!L5</f>
        <v>104029.99681696936</v>
      </c>
      <c r="E33" s="6">
        <f>'Rate Class Energy Model'!L6</f>
        <v>105564.9286945004</v>
      </c>
      <c r="F33" s="6">
        <f>'Rate Class Energy Model'!L7</f>
        <v>103381.18500143119</v>
      </c>
      <c r="G33" s="6">
        <f>'Rate Class Energy Model'!L8</f>
        <v>102424.28203415705</v>
      </c>
      <c r="H33" s="6">
        <f>'Rate Class Energy Model'!L9</f>
        <v>102754.57494513884</v>
      </c>
      <c r="I33" s="6">
        <f>'Rate Class Energy Model'!L10</f>
        <v>102755.519511497</v>
      </c>
      <c r="J33" s="6">
        <f>'Rate Class Energy Model'!L11</f>
        <v>102474.81156378207</v>
      </c>
      <c r="K33" s="6">
        <f>'Rate Class Energy Model'!L12</f>
        <v>99742.972998759651</v>
      </c>
      <c r="L33" s="6">
        <f>'Rate Class Energy Model'!L32</f>
        <v>99584.399114818865</v>
      </c>
      <c r="M33" s="6">
        <f>'Rate Class Energy Model'!L33</f>
        <v>99648.051869478732</v>
      </c>
      <c r="O33" s="113">
        <f>+[10]Summary!M32</f>
        <v>338.86175995396366</v>
      </c>
    </row>
    <row r="34" spans="1:16" x14ac:dyDescent="0.2">
      <c r="A34" t="s">
        <v>48</v>
      </c>
      <c r="B34" s="6">
        <f>'Rate Class Load Model'!D2</f>
        <v>292.3</v>
      </c>
      <c r="C34" s="6">
        <f>'Rate Class Load Model'!D3</f>
        <v>289.40000000000003</v>
      </c>
      <c r="D34" s="6">
        <f>'Rate Class Load Model'!D4</f>
        <v>286.49</v>
      </c>
      <c r="E34" s="6">
        <f>'Rate Class Load Model'!D5</f>
        <v>289.30000000000007</v>
      </c>
      <c r="F34" s="6">
        <f>'Rate Class Load Model'!D6</f>
        <v>310.00000000000006</v>
      </c>
      <c r="G34" s="6">
        <f>'Rate Class Load Model'!D7</f>
        <v>280.60000000000002</v>
      </c>
      <c r="H34" s="6">
        <f>'Rate Class Load Model'!D8</f>
        <v>283.8</v>
      </c>
      <c r="I34" s="6">
        <f>'Rate Class Load Model'!D9</f>
        <v>282.2</v>
      </c>
      <c r="J34" s="6">
        <f>'Rate Class Load Model'!D10</f>
        <v>282</v>
      </c>
      <c r="K34" s="6">
        <f>'Rate Class Load Model'!D11</f>
        <v>278.2</v>
      </c>
      <c r="L34" s="6">
        <f>'Rate Class Load Model'!D12</f>
        <v>276.80983328597222</v>
      </c>
      <c r="M34" s="6">
        <f>'Rate Class Load Model'!D13</f>
        <v>276.98676570271829</v>
      </c>
      <c r="O34" s="113">
        <f>+[10]Summary!M33</f>
        <v>0.12253577700319083</v>
      </c>
    </row>
    <row r="35" spans="1:16" x14ac:dyDescent="0.2">
      <c r="O35" s="113">
        <f>+[10]Summary!M34</f>
        <v>0</v>
      </c>
    </row>
    <row r="36" spans="1:16" x14ac:dyDescent="0.2">
      <c r="A36" s="30" t="str">
        <f>'Rate Class Energy Model'!M2</f>
        <v xml:space="preserve">Unmetered Loads </v>
      </c>
      <c r="E36" s="1"/>
      <c r="F36" s="1"/>
      <c r="G36" s="1"/>
      <c r="H36" s="1"/>
      <c r="O36" s="113">
        <f>+[10]Summary!M35</f>
        <v>104</v>
      </c>
    </row>
    <row r="37" spans="1:16" x14ac:dyDescent="0.2">
      <c r="A37" t="s">
        <v>49</v>
      </c>
      <c r="B37" s="6">
        <f>'Rate Class Customer Model'!G11</f>
        <v>103.75</v>
      </c>
      <c r="C37" s="6">
        <f>'Rate Class Customer Model'!G12</f>
        <v>104</v>
      </c>
      <c r="D37" s="6">
        <f>'Rate Class Customer Model'!G13</f>
        <v>96.5</v>
      </c>
      <c r="E37" s="6">
        <f>'Rate Class Customer Model'!G14</f>
        <v>97</v>
      </c>
      <c r="F37" s="6">
        <f>'Rate Class Customer Model'!G15</f>
        <v>97</v>
      </c>
      <c r="G37" s="6">
        <f>'Rate Class Customer Model'!G16</f>
        <v>97</v>
      </c>
      <c r="H37" s="6">
        <f>'Rate Class Customer Model'!G17</f>
        <v>97</v>
      </c>
      <c r="I37" s="6">
        <f>'Rate Class Customer Model'!G18</f>
        <v>97</v>
      </c>
      <c r="J37" s="6">
        <f>'Rate Class Customer Model'!G19</f>
        <v>98</v>
      </c>
      <c r="K37" s="6">
        <f>'Rate Class Customer Model'!G20</f>
        <v>98</v>
      </c>
      <c r="L37" s="6">
        <f>'Rate Class Customer Model'!G21</f>
        <v>97</v>
      </c>
      <c r="M37" s="6">
        <f>'Rate Class Customer Model'!G22</f>
        <v>96.349640189523058</v>
      </c>
      <c r="O37" s="113">
        <f>+[10]Summary!M36</f>
        <v>358304.47063816962</v>
      </c>
    </row>
    <row r="38" spans="1:16" x14ac:dyDescent="0.2">
      <c r="A38" t="s">
        <v>47</v>
      </c>
      <c r="B38" s="6">
        <f>'Rate Class Energy Model'!M3</f>
        <v>384409.53280539409</v>
      </c>
      <c r="C38" s="6">
        <f>'Rate Class Energy Model'!M4</f>
        <v>386243.36172938795</v>
      </c>
      <c r="D38" s="6">
        <f>'Rate Class Energy Model'!M5</f>
        <v>382513.80184551654</v>
      </c>
      <c r="E38" s="6">
        <f>'Rate Class Energy Model'!M6</f>
        <v>401383.11638747668</v>
      </c>
      <c r="F38" s="6">
        <f>'Rate Class Energy Model'!M7</f>
        <v>380609.58741668583</v>
      </c>
      <c r="G38" s="6">
        <f>'Rate Class Energy Model'!M8</f>
        <v>375339.18519225245</v>
      </c>
      <c r="H38" s="6">
        <f>'Rate Class Energy Model'!M9</f>
        <v>375339.18519225245</v>
      </c>
      <c r="I38" s="6">
        <f>'Rate Class Energy Model'!M10</f>
        <v>375339.18519225245</v>
      </c>
      <c r="J38" s="6">
        <f>'Rate Class Energy Model'!M11</f>
        <v>375339.18519225245</v>
      </c>
      <c r="K38" s="6">
        <f>'Rate Class Energy Model'!M12</f>
        <v>375339.18519225251</v>
      </c>
      <c r="L38" s="6">
        <f>'Rate Class Energy Model'!M32</f>
        <v>371509.19350661727</v>
      </c>
      <c r="M38" s="6">
        <f>'Rate Class Energy Model'!M33</f>
        <v>369018.32083981927</v>
      </c>
      <c r="O38" s="113">
        <f>+[10]Summary!M37</f>
        <v>0.35830447063816961</v>
      </c>
    </row>
    <row r="39" spans="1:16" x14ac:dyDescent="0.2">
      <c r="O39" s="113">
        <f>+[10]Summary!M38</f>
        <v>0</v>
      </c>
    </row>
    <row r="40" spans="1:16" x14ac:dyDescent="0.2">
      <c r="A40" s="30" t="s">
        <v>11</v>
      </c>
      <c r="C40" s="1"/>
      <c r="E40" s="1"/>
      <c r="H40" s="48"/>
      <c r="O40" s="113">
        <f>+[10]Summary!M39</f>
        <v>14718.613730981633</v>
      </c>
    </row>
    <row r="41" spans="1:16" x14ac:dyDescent="0.2">
      <c r="A41" t="s">
        <v>51</v>
      </c>
      <c r="B41" s="6">
        <f>+B14+B18+B22+B27+B32+B37</f>
        <v>14572.666666666666</v>
      </c>
      <c r="C41" s="6">
        <f t="shared" ref="C41:M41" si="3">+C14+C18+C22+C27+C32+C37</f>
        <v>14766.583333333332</v>
      </c>
      <c r="D41" s="6">
        <f t="shared" si="3"/>
        <v>14938.166666666668</v>
      </c>
      <c r="E41" s="6">
        <f t="shared" si="3"/>
        <v>15008.75</v>
      </c>
      <c r="F41" s="6">
        <f t="shared" si="3"/>
        <v>15314.75</v>
      </c>
      <c r="G41" s="6">
        <f t="shared" si="3"/>
        <v>15660.166666666666</v>
      </c>
      <c r="H41" s="6">
        <f t="shared" si="3"/>
        <v>15823.833333333334</v>
      </c>
      <c r="I41" s="6">
        <f t="shared" si="3"/>
        <v>15866.666666666666</v>
      </c>
      <c r="J41" s="6">
        <f t="shared" si="3"/>
        <v>15983.25</v>
      </c>
      <c r="K41" s="6">
        <f t="shared" si="3"/>
        <v>16058.75</v>
      </c>
      <c r="L41" s="6">
        <f t="shared" si="3"/>
        <v>16119.916666666666</v>
      </c>
      <c r="M41" s="6">
        <f t="shared" si="3"/>
        <v>16262.702623938154</v>
      </c>
      <c r="O41" s="113">
        <f>+[10]Summary!M40</f>
        <v>252033687.41449282</v>
      </c>
    </row>
    <row r="42" spans="1:16" x14ac:dyDescent="0.2">
      <c r="A42" t="s">
        <v>47</v>
      </c>
      <c r="B42" s="6">
        <f>+B15+B19+B23+B28+B33+B38</f>
        <v>244740325.18550813</v>
      </c>
      <c r="C42" s="6">
        <f t="shared" ref="C42:M42" si="4">+C15+C19+C23+C28+C33+C38</f>
        <v>246477011.33039564</v>
      </c>
      <c r="D42" s="6">
        <f t="shared" si="4"/>
        <v>246477011.33292255</v>
      </c>
      <c r="E42" s="6">
        <f t="shared" si="4"/>
        <v>248540423.96402004</v>
      </c>
      <c r="F42" s="6">
        <f t="shared" si="4"/>
        <v>244614082.01926133</v>
      </c>
      <c r="G42" s="6">
        <f t="shared" si="4"/>
        <v>256748351.60430366</v>
      </c>
      <c r="H42" s="6">
        <f t="shared" si="4"/>
        <v>252725977.76269531</v>
      </c>
      <c r="I42" s="6">
        <f t="shared" si="4"/>
        <v>254347082.62766621</v>
      </c>
      <c r="J42" s="6">
        <f t="shared" si="4"/>
        <v>260728373.56735688</v>
      </c>
      <c r="K42" s="6">
        <f t="shared" si="4"/>
        <v>268116945.72267458</v>
      </c>
      <c r="L42" s="6">
        <f t="shared" si="4"/>
        <v>259066908.31541243</v>
      </c>
      <c r="M42" s="6">
        <f t="shared" si="4"/>
        <v>263859540.13704625</v>
      </c>
      <c r="O42" s="113">
        <f>+[10]Summary!M41</f>
        <v>299294.18242490536</v>
      </c>
    </row>
    <row r="43" spans="1:16" x14ac:dyDescent="0.2">
      <c r="A43" t="s">
        <v>50</v>
      </c>
      <c r="B43" s="6">
        <f>+B24+B29+B34</f>
        <v>293389.52</v>
      </c>
      <c r="C43" s="6">
        <f t="shared" ref="C43:M43" si="5">+C24+C29+C34</f>
        <v>298624.68</v>
      </c>
      <c r="D43" s="6">
        <f t="shared" si="5"/>
        <v>293566.06</v>
      </c>
      <c r="E43" s="6">
        <f t="shared" si="5"/>
        <v>309622.45999999996</v>
      </c>
      <c r="F43" s="6">
        <f t="shared" si="5"/>
        <v>298029.21000000002</v>
      </c>
      <c r="G43" s="6">
        <f t="shared" si="5"/>
        <v>300440.21999999991</v>
      </c>
      <c r="H43" s="6">
        <f t="shared" si="5"/>
        <v>301608.62999999995</v>
      </c>
      <c r="I43" s="6">
        <f t="shared" si="5"/>
        <v>281650.83999999997</v>
      </c>
      <c r="J43" s="6">
        <f t="shared" si="5"/>
        <v>304377.96999999997</v>
      </c>
      <c r="K43" s="6">
        <f t="shared" si="5"/>
        <v>320393.74000000011</v>
      </c>
      <c r="L43" s="6">
        <f t="shared" si="5"/>
        <v>315237.6802592465</v>
      </c>
      <c r="M43" s="6">
        <f t="shared" si="5"/>
        <v>318787.80320807878</v>
      </c>
      <c r="O43" s="113">
        <f>+[10]Summary!M42</f>
        <v>0</v>
      </c>
    </row>
    <row r="44" spans="1:16" x14ac:dyDescent="0.2">
      <c r="C44" s="48"/>
      <c r="D44" s="1"/>
      <c r="E44" s="1"/>
      <c r="F44" s="1"/>
      <c r="O44" s="113">
        <f>+[10]Summary!M43</f>
        <v>0</v>
      </c>
    </row>
    <row r="45" spans="1:16" x14ac:dyDescent="0.2">
      <c r="A45" t="s">
        <v>51</v>
      </c>
      <c r="B45" s="6">
        <f>'Rate Class Customer Model'!H11</f>
        <v>14572.666666666666</v>
      </c>
      <c r="C45" s="6">
        <f>'Rate Class Customer Model'!H12</f>
        <v>14766.583333333332</v>
      </c>
      <c r="D45" s="6">
        <f>'Rate Class Customer Model'!H13</f>
        <v>14938.166666666668</v>
      </c>
      <c r="E45" s="6">
        <f>'Rate Class Customer Model'!H14</f>
        <v>15008.75</v>
      </c>
      <c r="F45" s="6">
        <f>'Rate Class Customer Model'!H15</f>
        <v>15314.75</v>
      </c>
      <c r="G45" s="6">
        <f>'Rate Class Customer Model'!H16</f>
        <v>15660.166666666666</v>
      </c>
      <c r="H45" s="6">
        <f>'Rate Class Customer Model'!H17</f>
        <v>15823.833333333334</v>
      </c>
      <c r="I45" s="6">
        <f>'Rate Class Customer Model'!H18</f>
        <v>15866.666666666666</v>
      </c>
      <c r="J45" s="6">
        <f>'Rate Class Customer Model'!H19</f>
        <v>15983.25</v>
      </c>
      <c r="K45" s="6">
        <f>'Rate Class Customer Model'!H20</f>
        <v>16058.75</v>
      </c>
      <c r="L45" s="6">
        <f>'Rate Class Customer Model'!H21</f>
        <v>16119.916666666666</v>
      </c>
      <c r="M45" s="6">
        <f>'Rate Class Customer Model'!H22</f>
        <v>16262.702623938154</v>
      </c>
      <c r="O45" s="113">
        <f>+[10]Summary!M44</f>
        <v>14718.613730981633</v>
      </c>
    </row>
    <row r="46" spans="1:16" x14ac:dyDescent="0.2">
      <c r="A46" t="s">
        <v>47</v>
      </c>
      <c r="B46" s="6">
        <f>'Rate Class Energy Model'!G3</f>
        <v>244740325.18550813</v>
      </c>
      <c r="C46" s="6">
        <f>'Rate Class Energy Model'!G4</f>
        <v>246477011.33039564</v>
      </c>
      <c r="D46" s="6">
        <f>'Rate Class Energy Model'!G5</f>
        <v>246477011.33292255</v>
      </c>
      <c r="E46" s="6">
        <f>'Rate Class Energy Model'!G6</f>
        <v>248540423.96402004</v>
      </c>
      <c r="F46" s="6">
        <f>'Rate Class Energy Model'!G7</f>
        <v>244614082.01926133</v>
      </c>
      <c r="G46" s="6">
        <f>'Rate Class Energy Model'!G8</f>
        <v>256748351.60430366</v>
      </c>
      <c r="H46" s="6">
        <f>'Rate Class Energy Model'!G9</f>
        <v>252725977.76269531</v>
      </c>
      <c r="I46" s="6">
        <f>'Rate Class Energy Model'!G10</f>
        <v>254347082.62766621</v>
      </c>
      <c r="J46" s="6">
        <f>'Rate Class Energy Model'!G11</f>
        <v>260728373.56735688</v>
      </c>
      <c r="K46" s="6">
        <f>'Rate Class Energy Model'!G12</f>
        <v>268116945.72267458</v>
      </c>
      <c r="L46" s="6">
        <f>'Rate Class Energy Model'!N32</f>
        <v>259066908.31541243</v>
      </c>
      <c r="M46" s="6">
        <f>'Rate Class Energy Model'!N33</f>
        <v>263859540.13704625</v>
      </c>
      <c r="O46" s="113">
        <f>+[10]Summary!M45</f>
        <v>252033687.41449282</v>
      </c>
      <c r="P46" s="40"/>
    </row>
    <row r="47" spans="1:16" x14ac:dyDescent="0.2">
      <c r="A47" t="s">
        <v>50</v>
      </c>
      <c r="B47" s="6">
        <f>'Rate Class Load Model'!E2</f>
        <v>293389.52</v>
      </c>
      <c r="C47" s="6">
        <f>'Rate Class Load Model'!E3</f>
        <v>298624.68</v>
      </c>
      <c r="D47" s="6">
        <f>'Rate Class Load Model'!E4</f>
        <v>293566.06</v>
      </c>
      <c r="E47" s="6">
        <f>'Rate Class Load Model'!E5</f>
        <v>309622.45999999996</v>
      </c>
      <c r="F47" s="6">
        <f>'Rate Class Load Model'!E6</f>
        <v>298029.21000000002</v>
      </c>
      <c r="G47" s="6">
        <f>'Rate Class Load Model'!E7</f>
        <v>300440.21999999991</v>
      </c>
      <c r="H47" s="6">
        <f>'Rate Class Load Model'!E8</f>
        <v>301608.62999999995</v>
      </c>
      <c r="I47" s="6">
        <f>'Rate Class Load Model'!E9</f>
        <v>281650.83999999997</v>
      </c>
      <c r="J47" s="6">
        <f>'Rate Class Load Model'!E10</f>
        <v>304377.96999999997</v>
      </c>
      <c r="K47" s="6">
        <f>'Rate Class Load Model'!E11</f>
        <v>320393.74000000011</v>
      </c>
      <c r="L47" s="6">
        <f>'Rate Class Load Model'!E12</f>
        <v>315237.6802592465</v>
      </c>
      <c r="M47" s="6">
        <f>'Rate Class Load Model'!E13</f>
        <v>318787.80320807878</v>
      </c>
      <c r="O47" s="113">
        <f>+[10]Summary!M46</f>
        <v>299294.18242490536</v>
      </c>
    </row>
  </sheetData>
  <phoneticPr fontId="0" type="noConversion"/>
  <pageMargins left="0.38" right="0.75" top="0.73" bottom="0.74" header="0.5" footer="0.5"/>
  <pageSetup scale="74" fitToHeight="2" orientation="landscape" r:id="rId1"/>
  <headerFooter alignWithMargins="0">
    <oddFooter>&amp;L&amp;Z&amp;F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4211C-0F41-43C6-A065-64659CA77A96}">
  <sheetPr>
    <tabColor rgb="FF00B0F0"/>
    <pageSetUpPr fitToPage="1"/>
  </sheetPr>
  <dimension ref="A1:AA196"/>
  <sheetViews>
    <sheetView zoomScale="87" zoomScaleNormal="87" workbookViewId="0">
      <pane xSplit="3" ySplit="2" topLeftCell="N3" activePane="bottomRight" state="frozen"/>
      <selection pane="topRight" activeCell="C1" sqref="C1"/>
      <selection pane="bottomLeft" activeCell="A3" sqref="A3"/>
      <selection pane="bottomRight" activeCell="N3" sqref="N3:N146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03" customWidth="1"/>
    <col min="9" max="11" width="13" style="1" customWidth="1"/>
    <col min="12" max="12" width="12.42578125" style="1" customWidth="1"/>
    <col min="13" max="13" width="14.85546875" style="1" customWidth="1"/>
    <col min="14" max="14" width="15.5703125" style="1" bestFit="1" customWidth="1"/>
    <col min="15" max="15" width="16" style="1" customWidth="1"/>
    <col min="16" max="16" width="16.42578125" style="1" customWidth="1"/>
    <col min="17" max="17" width="8.42578125" style="1" customWidth="1"/>
    <col min="18" max="18" width="4.85546875" style="1" customWidth="1"/>
    <col min="19" max="19" width="44.42578125" customWidth="1"/>
    <col min="20" max="20" width="18.42578125" customWidth="1"/>
    <col min="21" max="23" width="12.5703125" customWidth="1"/>
    <col min="24" max="27" width="15.7109375" customWidth="1"/>
    <col min="28" max="28" width="42.42578125" bestFit="1" customWidth="1"/>
    <col min="29" max="29" width="15.5703125" bestFit="1" customWidth="1"/>
    <col min="30" max="30" width="26.140625" bestFit="1" customWidth="1"/>
    <col min="31" max="31" width="23" bestFit="1" customWidth="1"/>
    <col min="34" max="34" width="40.5703125" bestFit="1" customWidth="1"/>
    <col min="35" max="35" width="42.85546875" bestFit="1" customWidth="1"/>
  </cols>
  <sheetData>
    <row r="1" spans="1:24" x14ac:dyDescent="0.2">
      <c r="S1" s="47" t="s">
        <v>289</v>
      </c>
    </row>
    <row r="2" spans="1:24" ht="38.2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104" t="s">
        <v>18</v>
      </c>
      <c r="I2" s="61" t="s">
        <v>7</v>
      </c>
      <c r="J2" s="256" t="s">
        <v>288</v>
      </c>
      <c r="K2" s="256" t="s">
        <v>287</v>
      </c>
      <c r="L2" s="61" t="s">
        <v>145</v>
      </c>
      <c r="M2" s="61" t="s">
        <v>70</v>
      </c>
      <c r="N2" s="61" t="s">
        <v>12</v>
      </c>
      <c r="O2" s="63" t="s">
        <v>13</v>
      </c>
      <c r="P2" s="61" t="s">
        <v>14</v>
      </c>
      <c r="Q2" s="61" t="s">
        <v>64</v>
      </c>
      <c r="R2"/>
      <c r="S2" t="s">
        <v>19</v>
      </c>
    </row>
    <row r="3" spans="1:24" x14ac:dyDescent="0.2">
      <c r="A3" s="3" t="str">
        <f>YEAR(C3)&amp;MONTH(C3)</f>
        <v>20131</v>
      </c>
      <c r="B3" s="49">
        <f>YEAR(C3)</f>
        <v>2013</v>
      </c>
      <c r="C3" s="52">
        <v>41305</v>
      </c>
      <c r="D3" s="53">
        <f>+Inputs!D3</f>
        <v>23103232.740000002</v>
      </c>
      <c r="E3" s="201">
        <v>703.65</v>
      </c>
      <c r="F3" s="201">
        <v>0</v>
      </c>
      <c r="G3" s="53">
        <f>+Inputs!G3</f>
        <v>31</v>
      </c>
      <c r="H3" s="105">
        <f>+Inputs!H3</f>
        <v>0</v>
      </c>
      <c r="I3" s="53">
        <f>+Inputs!I3</f>
        <v>352</v>
      </c>
      <c r="J3" s="257">
        <v>0</v>
      </c>
      <c r="K3" s="257">
        <v>0</v>
      </c>
      <c r="L3" s="53">
        <f>+Inputs!J3</f>
        <v>0</v>
      </c>
      <c r="M3" s="53">
        <f>+Inputs!M3</f>
        <v>1</v>
      </c>
      <c r="N3" s="53">
        <f>$T$18+$T$19*E3+$T$20*F3+$T$21*G3+$T$22*H3+$T$23*I3+J3*$T$24+K3*$T$25+L3*$T$26+M3*$T$27</f>
        <v>23132395.598270871</v>
      </c>
      <c r="O3" s="37">
        <f t="shared" ref="O3:O66" si="0">N3-D3</f>
        <v>29162.858270868659</v>
      </c>
      <c r="P3" s="45">
        <f t="shared" ref="P3:P66" si="1">O3/D3</f>
        <v>1.2622847459947571E-3</v>
      </c>
      <c r="Q3" s="12">
        <f t="shared" ref="Q3:Q66" si="2">ABS(P3)</f>
        <v>1.2622847459947571E-3</v>
      </c>
      <c r="R3" s="12"/>
    </row>
    <row r="4" spans="1:24" x14ac:dyDescent="0.2">
      <c r="A4" s="3" t="str">
        <f t="shared" ref="A4:A67" si="3">YEAR(C4)&amp;MONTH(C4)</f>
        <v>20132</v>
      </c>
      <c r="B4" s="49">
        <f t="shared" ref="B4:B67" si="4">YEAR(C4)</f>
        <v>2013</v>
      </c>
      <c r="C4" s="52">
        <v>41333</v>
      </c>
      <c r="D4" s="53">
        <f>+Inputs!D4</f>
        <v>21143805.780000001</v>
      </c>
      <c r="E4" s="201">
        <v>630.40499999999997</v>
      </c>
      <c r="F4" s="201">
        <v>0</v>
      </c>
      <c r="G4" s="53">
        <f>+Inputs!G4</f>
        <v>28</v>
      </c>
      <c r="H4" s="105">
        <f>+Inputs!H4</f>
        <v>0</v>
      </c>
      <c r="I4" s="53">
        <f>+Inputs!I4</f>
        <v>304</v>
      </c>
      <c r="J4" s="257">
        <v>0</v>
      </c>
      <c r="K4" s="257">
        <v>0</v>
      </c>
      <c r="L4" s="53">
        <f>+Inputs!J4</f>
        <v>0</v>
      </c>
      <c r="M4" s="53">
        <f>+Inputs!M4</f>
        <v>2</v>
      </c>
      <c r="N4" s="53">
        <f t="shared" ref="N4:N67" si="5">$T$18+$T$19*E4+$T$20*F4+$T$21*G4+$T$22*H4+$T$23*I4+J4*$T$24+K4*$T$25+L4*$T$26+M4*$T$27</f>
        <v>20922620.157054592</v>
      </c>
      <c r="O4" s="37">
        <f t="shared" si="0"/>
        <v>-221185.62294540927</v>
      </c>
      <c r="P4" s="45">
        <f t="shared" si="1"/>
        <v>-1.0461012801897259E-2</v>
      </c>
      <c r="Q4" s="12">
        <f t="shared" si="2"/>
        <v>1.0461012801897259E-2</v>
      </c>
      <c r="R4" s="12"/>
      <c r="S4" s="76" t="s">
        <v>20</v>
      </c>
      <c r="T4" s="76"/>
    </row>
    <row r="5" spans="1:24" x14ac:dyDescent="0.2">
      <c r="A5" s="3" t="str">
        <f t="shared" si="3"/>
        <v>20133</v>
      </c>
      <c r="B5" s="49">
        <f t="shared" si="4"/>
        <v>2013</v>
      </c>
      <c r="C5" s="52">
        <v>41364</v>
      </c>
      <c r="D5" s="53">
        <f>+Inputs!D5</f>
        <v>22021932.285</v>
      </c>
      <c r="E5" s="201">
        <v>547.82999999999993</v>
      </c>
      <c r="F5" s="201">
        <v>0</v>
      </c>
      <c r="G5" s="53">
        <f>+Inputs!G5</f>
        <v>31</v>
      </c>
      <c r="H5" s="105">
        <v>0.33333333333333331</v>
      </c>
      <c r="I5" s="53">
        <f>+Inputs!I5</f>
        <v>320</v>
      </c>
      <c r="J5" s="257">
        <v>0</v>
      </c>
      <c r="K5" s="257">
        <v>0</v>
      </c>
      <c r="L5" s="53">
        <f>+Inputs!J5</f>
        <v>0</v>
      </c>
      <c r="M5" s="53">
        <f>+Inputs!M5</f>
        <v>3</v>
      </c>
      <c r="N5" s="53">
        <f t="shared" si="5"/>
        <v>21723489.095259689</v>
      </c>
      <c r="O5" s="37">
        <f t="shared" si="0"/>
        <v>-298443.18974031135</v>
      </c>
      <c r="P5" s="45">
        <f t="shared" si="1"/>
        <v>-1.3552089157207729E-2</v>
      </c>
      <c r="Q5" s="12">
        <f t="shared" si="2"/>
        <v>1.3552089157207729E-2</v>
      </c>
      <c r="R5" s="12"/>
      <c r="S5" t="s">
        <v>21</v>
      </c>
      <c r="T5" s="112">
        <v>0.96204524479694453</v>
      </c>
    </row>
    <row r="6" spans="1:24" x14ac:dyDescent="0.2">
      <c r="A6" s="3" t="str">
        <f t="shared" si="3"/>
        <v>20134</v>
      </c>
      <c r="B6" s="49">
        <f t="shared" si="4"/>
        <v>2013</v>
      </c>
      <c r="C6" s="52">
        <v>41394</v>
      </c>
      <c r="D6" s="53">
        <f>+Inputs!D6</f>
        <v>20056096.465</v>
      </c>
      <c r="E6" s="201">
        <v>338.72500000000002</v>
      </c>
      <c r="F6" s="201">
        <v>0.71000000000000008</v>
      </c>
      <c r="G6" s="53">
        <f>+Inputs!G6</f>
        <v>30</v>
      </c>
      <c r="H6" s="105">
        <f>+Inputs!H6</f>
        <v>1</v>
      </c>
      <c r="I6" s="53">
        <f>+Inputs!I6</f>
        <v>352</v>
      </c>
      <c r="J6" s="257">
        <v>0</v>
      </c>
      <c r="K6" s="257">
        <v>0</v>
      </c>
      <c r="L6" s="53">
        <f>+Inputs!J6</f>
        <v>0</v>
      </c>
      <c r="M6" s="53">
        <f>+Inputs!M6</f>
        <v>4</v>
      </c>
      <c r="N6" s="53">
        <f t="shared" si="5"/>
        <v>20126454.94991165</v>
      </c>
      <c r="O6" s="37">
        <f t="shared" si="0"/>
        <v>70358.484911650419</v>
      </c>
      <c r="P6" s="45">
        <f t="shared" si="1"/>
        <v>3.5080846880864072E-3</v>
      </c>
      <c r="Q6" s="12">
        <f t="shared" si="2"/>
        <v>3.5080846880864072E-3</v>
      </c>
      <c r="R6" s="12"/>
      <c r="S6" t="s">
        <v>22</v>
      </c>
      <c r="T6" s="112">
        <v>0.92553105303641303</v>
      </c>
    </row>
    <row r="7" spans="1:24" x14ac:dyDescent="0.2">
      <c r="A7" s="3" t="str">
        <f t="shared" si="3"/>
        <v>20135</v>
      </c>
      <c r="B7" s="49">
        <f t="shared" si="4"/>
        <v>2013</v>
      </c>
      <c r="C7" s="52">
        <v>41425</v>
      </c>
      <c r="D7" s="53">
        <f>+Inputs!D7</f>
        <v>19849846.864999998</v>
      </c>
      <c r="E7" s="201">
        <v>144.06</v>
      </c>
      <c r="F7" s="201">
        <v>23.914999999999999</v>
      </c>
      <c r="G7" s="53">
        <f>+Inputs!G7</f>
        <v>31</v>
      </c>
      <c r="H7" s="105">
        <f>+Inputs!H7</f>
        <v>1</v>
      </c>
      <c r="I7" s="53">
        <f>+Inputs!I7</f>
        <v>352</v>
      </c>
      <c r="J7" s="257">
        <v>0</v>
      </c>
      <c r="K7" s="257">
        <v>0</v>
      </c>
      <c r="L7" s="53">
        <f>+Inputs!J7</f>
        <v>0</v>
      </c>
      <c r="M7" s="53">
        <f>+Inputs!M7</f>
        <v>5</v>
      </c>
      <c r="N7" s="53">
        <f t="shared" si="5"/>
        <v>20002181.194958996</v>
      </c>
      <c r="O7" s="37">
        <f t="shared" si="0"/>
        <v>152334.32995899767</v>
      </c>
      <c r="P7" s="45">
        <f t="shared" si="1"/>
        <v>7.6743327540525928E-3</v>
      </c>
      <c r="Q7" s="12">
        <f t="shared" si="2"/>
        <v>7.6743327540525928E-3</v>
      </c>
      <c r="R7" s="12"/>
      <c r="S7" t="s">
        <v>23</v>
      </c>
      <c r="T7" s="112">
        <v>0.91989894780387282</v>
      </c>
    </row>
    <row r="8" spans="1:24" x14ac:dyDescent="0.2">
      <c r="A8" s="3" t="str">
        <f t="shared" si="3"/>
        <v>20136</v>
      </c>
      <c r="B8" s="49">
        <f t="shared" si="4"/>
        <v>2013</v>
      </c>
      <c r="C8" s="52">
        <v>41455</v>
      </c>
      <c r="D8" s="53">
        <f>+Inputs!D8</f>
        <v>20147779.544999998</v>
      </c>
      <c r="E8" s="201">
        <v>21.37</v>
      </c>
      <c r="F8" s="201">
        <v>69.710000000000008</v>
      </c>
      <c r="G8" s="53">
        <f>+Inputs!G8</f>
        <v>30</v>
      </c>
      <c r="H8" s="105">
        <v>0.66666666666666663</v>
      </c>
      <c r="I8" s="53">
        <f>+Inputs!I8</f>
        <v>320</v>
      </c>
      <c r="J8" s="257">
        <v>0</v>
      </c>
      <c r="K8" s="257">
        <v>0</v>
      </c>
      <c r="L8" s="53">
        <f>+Inputs!J8</f>
        <v>0</v>
      </c>
      <c r="M8" s="53">
        <f>+Inputs!M8</f>
        <v>6</v>
      </c>
      <c r="N8" s="53">
        <f t="shared" si="5"/>
        <v>19821835.763477646</v>
      </c>
      <c r="O8" s="37">
        <f t="shared" si="0"/>
        <v>-325943.78152235225</v>
      </c>
      <c r="P8" s="45">
        <f t="shared" si="1"/>
        <v>-1.6177652767857514E-2</v>
      </c>
      <c r="Q8" s="12">
        <f t="shared" si="2"/>
        <v>1.6177652767857514E-2</v>
      </c>
      <c r="R8" s="12"/>
      <c r="S8" t="s">
        <v>24</v>
      </c>
      <c r="T8" s="113">
        <v>418372.43205383013</v>
      </c>
    </row>
    <row r="9" spans="1:24" ht="13.5" thickBot="1" x14ac:dyDescent="0.25">
      <c r="A9" s="3" t="str">
        <f t="shared" si="3"/>
        <v>20137</v>
      </c>
      <c r="B9" s="49">
        <f t="shared" si="4"/>
        <v>2013</v>
      </c>
      <c r="C9" s="52">
        <v>41486</v>
      </c>
      <c r="D9" s="53">
        <f>+Inputs!D9</f>
        <v>22076027.195</v>
      </c>
      <c r="E9" s="201">
        <v>1.24</v>
      </c>
      <c r="F9" s="201">
        <v>140.78500000000003</v>
      </c>
      <c r="G9" s="53">
        <f>+Inputs!G9</f>
        <v>31</v>
      </c>
      <c r="H9" s="105">
        <f>+Inputs!H9</f>
        <v>0</v>
      </c>
      <c r="I9" s="53">
        <f>+Inputs!I9</f>
        <v>352</v>
      </c>
      <c r="J9" s="257">
        <v>0</v>
      </c>
      <c r="K9" s="257">
        <v>0</v>
      </c>
      <c r="L9" s="53">
        <f>+Inputs!J9</f>
        <v>0</v>
      </c>
      <c r="M9" s="53">
        <f>+Inputs!M9</f>
        <v>7</v>
      </c>
      <c r="N9" s="53">
        <f t="shared" si="5"/>
        <v>22586484.622778617</v>
      </c>
      <c r="O9" s="37">
        <f t="shared" si="0"/>
        <v>510457.42777861655</v>
      </c>
      <c r="P9" s="45">
        <f t="shared" si="1"/>
        <v>2.3122703341035476E-2</v>
      </c>
      <c r="Q9" s="12">
        <f t="shared" si="2"/>
        <v>2.3122703341035476E-2</v>
      </c>
      <c r="R9" s="12"/>
      <c r="S9" s="90" t="s">
        <v>25</v>
      </c>
      <c r="T9" s="90">
        <v>129</v>
      </c>
    </row>
    <row r="10" spans="1:24" x14ac:dyDescent="0.2">
      <c r="A10" s="3" t="str">
        <f t="shared" si="3"/>
        <v>20138</v>
      </c>
      <c r="B10" s="49">
        <f t="shared" si="4"/>
        <v>2013</v>
      </c>
      <c r="C10" s="52">
        <v>41517</v>
      </c>
      <c r="D10" s="53">
        <f>+Inputs!D10</f>
        <v>21280806.869999997</v>
      </c>
      <c r="E10" s="201">
        <v>3.5549999999999997</v>
      </c>
      <c r="F10" s="201">
        <v>122.37</v>
      </c>
      <c r="G10" s="53">
        <f>+Inputs!G10</f>
        <v>31</v>
      </c>
      <c r="H10" s="105">
        <f>+Inputs!H10</f>
        <v>0</v>
      </c>
      <c r="I10" s="53">
        <f>+Inputs!I10</f>
        <v>352</v>
      </c>
      <c r="J10" s="257">
        <v>0</v>
      </c>
      <c r="K10" s="257">
        <v>0</v>
      </c>
      <c r="L10" s="53">
        <f>+Inputs!J10</f>
        <v>0</v>
      </c>
      <c r="M10" s="53">
        <f>+Inputs!M10</f>
        <v>8</v>
      </c>
      <c r="N10" s="53">
        <f t="shared" si="5"/>
        <v>22165439.354525011</v>
      </c>
      <c r="O10" s="37">
        <f t="shared" si="0"/>
        <v>884632.48452501372</v>
      </c>
      <c r="P10" s="45">
        <f t="shared" si="1"/>
        <v>4.1569499217254717E-2</v>
      </c>
      <c r="Q10" s="12">
        <f t="shared" si="2"/>
        <v>4.1569499217254717E-2</v>
      </c>
      <c r="R10" s="12"/>
    </row>
    <row r="11" spans="1:24" x14ac:dyDescent="0.2">
      <c r="A11" s="3" t="str">
        <f t="shared" si="3"/>
        <v>20139</v>
      </c>
      <c r="B11" s="49">
        <f t="shared" si="4"/>
        <v>2013</v>
      </c>
      <c r="C11" s="52">
        <v>41547</v>
      </c>
      <c r="D11" s="53">
        <f>+Inputs!D11</f>
        <v>19603273.836052112</v>
      </c>
      <c r="E11" s="201">
        <v>44.225000000000009</v>
      </c>
      <c r="F11" s="201">
        <v>50.904999999999987</v>
      </c>
      <c r="G11" s="53">
        <f>+Inputs!G11</f>
        <v>30</v>
      </c>
      <c r="H11" s="105">
        <v>0.33333333333333331</v>
      </c>
      <c r="I11" s="53">
        <f>+Inputs!I11</f>
        <v>320</v>
      </c>
      <c r="J11" s="257">
        <v>0</v>
      </c>
      <c r="K11" s="257">
        <v>0</v>
      </c>
      <c r="L11" s="53">
        <f>+Inputs!J11</f>
        <v>0</v>
      </c>
      <c r="M11" s="53">
        <f>+Inputs!M11</f>
        <v>9</v>
      </c>
      <c r="N11" s="53">
        <f t="shared" si="5"/>
        <v>19716439.063247807</v>
      </c>
      <c r="O11" s="37">
        <f t="shared" si="0"/>
        <v>113165.22719569504</v>
      </c>
      <c r="P11" s="45">
        <f t="shared" si="1"/>
        <v>5.7727718411796315E-3</v>
      </c>
      <c r="Q11" s="12">
        <f t="shared" si="2"/>
        <v>5.7727718411796315E-3</v>
      </c>
      <c r="R11" s="12"/>
      <c r="S11" t="s">
        <v>26</v>
      </c>
    </row>
    <row r="12" spans="1:24" x14ac:dyDescent="0.2">
      <c r="A12" s="3" t="str">
        <f t="shared" si="3"/>
        <v>201310</v>
      </c>
      <c r="B12" s="49">
        <f t="shared" si="4"/>
        <v>2013</v>
      </c>
      <c r="C12" s="52">
        <v>41578</v>
      </c>
      <c r="D12" s="53">
        <f>+Inputs!D12</f>
        <v>20353929.379999995</v>
      </c>
      <c r="E12" s="201">
        <v>222.22000000000003</v>
      </c>
      <c r="F12" s="201">
        <v>3.3</v>
      </c>
      <c r="G12" s="53">
        <f>+Inputs!G12</f>
        <v>31</v>
      </c>
      <c r="H12" s="105">
        <f>+Inputs!H12</f>
        <v>1</v>
      </c>
      <c r="I12" s="53">
        <f>+Inputs!I12</f>
        <v>352</v>
      </c>
      <c r="J12" s="257">
        <v>0</v>
      </c>
      <c r="K12" s="257">
        <v>0</v>
      </c>
      <c r="L12" s="53">
        <f>+Inputs!J12</f>
        <v>0</v>
      </c>
      <c r="M12" s="53">
        <f>+Inputs!M12</f>
        <v>10</v>
      </c>
      <c r="N12" s="53">
        <f t="shared" si="5"/>
        <v>20021240.302087363</v>
      </c>
      <c r="O12" s="37">
        <f t="shared" si="0"/>
        <v>-332689.07791263238</v>
      </c>
      <c r="P12" s="45">
        <f t="shared" si="1"/>
        <v>-1.634520154322322E-2</v>
      </c>
      <c r="Q12" s="12">
        <f t="shared" si="2"/>
        <v>1.634520154322322E-2</v>
      </c>
      <c r="R12" s="12"/>
      <c r="S12" s="76"/>
      <c r="T12" s="76" t="s">
        <v>30</v>
      </c>
      <c r="U12" s="76" t="s">
        <v>31</v>
      </c>
      <c r="V12" s="76" t="s">
        <v>32</v>
      </c>
      <c r="W12" s="76" t="s">
        <v>33</v>
      </c>
      <c r="X12" s="76" t="s">
        <v>34</v>
      </c>
    </row>
    <row r="13" spans="1:24" x14ac:dyDescent="0.2">
      <c r="A13" s="3" t="str">
        <f t="shared" si="3"/>
        <v>201311</v>
      </c>
      <c r="B13" s="49">
        <f t="shared" si="4"/>
        <v>2013</v>
      </c>
      <c r="C13" s="52">
        <v>41608</v>
      </c>
      <c r="D13" s="53">
        <f>+Inputs!D13</f>
        <v>21325343.805</v>
      </c>
      <c r="E13" s="201">
        <v>420.84500000000008</v>
      </c>
      <c r="F13" s="201">
        <v>0.09</v>
      </c>
      <c r="G13" s="53">
        <f>+Inputs!G13</f>
        <v>30</v>
      </c>
      <c r="H13" s="105">
        <f>+Inputs!H13</f>
        <v>1</v>
      </c>
      <c r="I13" s="53">
        <f>+Inputs!I13</f>
        <v>336</v>
      </c>
      <c r="J13" s="257">
        <v>0</v>
      </c>
      <c r="K13" s="257">
        <v>0</v>
      </c>
      <c r="L13" s="53">
        <f>+Inputs!J13</f>
        <v>0</v>
      </c>
      <c r="M13" s="53">
        <f>+Inputs!M13</f>
        <v>11</v>
      </c>
      <c r="N13" s="53">
        <f t="shared" si="5"/>
        <v>20503947.402492475</v>
      </c>
      <c r="O13" s="37">
        <f t="shared" si="0"/>
        <v>-821396.40250752494</v>
      </c>
      <c r="P13" s="45">
        <f t="shared" si="1"/>
        <v>-3.8517381478977049E-2</v>
      </c>
      <c r="Q13" s="12">
        <f t="shared" si="2"/>
        <v>3.8517381478977049E-2</v>
      </c>
      <c r="R13" s="12"/>
      <c r="S13" t="s">
        <v>27</v>
      </c>
      <c r="T13">
        <v>9</v>
      </c>
      <c r="U13">
        <v>258874255372703</v>
      </c>
      <c r="V13">
        <v>28763806152522.555</v>
      </c>
      <c r="W13">
        <v>164.33127841593628</v>
      </c>
      <c r="X13">
        <v>9.2964104684484964E-63</v>
      </c>
    </row>
    <row r="14" spans="1:24" x14ac:dyDescent="0.2">
      <c r="A14" s="3" t="str">
        <f t="shared" si="3"/>
        <v>201312</v>
      </c>
      <c r="B14" s="49">
        <f t="shared" si="4"/>
        <v>2013</v>
      </c>
      <c r="C14" s="52">
        <v>41639</v>
      </c>
      <c r="D14" s="53">
        <f>+Inputs!D14</f>
        <v>22832457.52</v>
      </c>
      <c r="E14" s="201">
        <v>579.06000000000006</v>
      </c>
      <c r="F14" s="201">
        <v>0</v>
      </c>
      <c r="G14" s="53">
        <f>+Inputs!G14</f>
        <v>31</v>
      </c>
      <c r="H14" s="105">
        <v>0.66666666666666663</v>
      </c>
      <c r="I14" s="53">
        <f>+Inputs!I14</f>
        <v>320</v>
      </c>
      <c r="J14" s="257">
        <v>0</v>
      </c>
      <c r="K14" s="257">
        <v>0</v>
      </c>
      <c r="L14" s="53">
        <f>+Inputs!J14</f>
        <v>0</v>
      </c>
      <c r="M14" s="53">
        <f>+Inputs!M14</f>
        <v>12</v>
      </c>
      <c r="N14" s="53">
        <f t="shared" si="5"/>
        <v>21850295.018479947</v>
      </c>
      <c r="O14" s="37">
        <f t="shared" si="0"/>
        <v>-982162.50152005255</v>
      </c>
      <c r="P14" s="45">
        <f t="shared" si="1"/>
        <v>-4.3016066083106964E-2</v>
      </c>
      <c r="Q14" s="12">
        <f t="shared" si="2"/>
        <v>4.3016066083106964E-2</v>
      </c>
      <c r="R14" s="12"/>
      <c r="S14" t="s">
        <v>28</v>
      </c>
      <c r="T14">
        <v>119</v>
      </c>
      <c r="U14">
        <v>20829223536413.77</v>
      </c>
      <c r="V14">
        <v>175035491902.63672</v>
      </c>
    </row>
    <row r="15" spans="1:24" ht="13.5" thickBot="1" x14ac:dyDescent="0.25">
      <c r="A15" s="3" t="str">
        <f t="shared" si="3"/>
        <v>20141</v>
      </c>
      <c r="B15" s="49">
        <f t="shared" si="4"/>
        <v>2014</v>
      </c>
      <c r="C15" s="52">
        <v>41670</v>
      </c>
      <c r="D15" s="53">
        <f>+Inputs!D15</f>
        <v>24790039.349999998</v>
      </c>
      <c r="E15" s="201">
        <v>703.65</v>
      </c>
      <c r="F15" s="201">
        <v>0</v>
      </c>
      <c r="G15" s="53">
        <f>+Inputs!G15</f>
        <v>31</v>
      </c>
      <c r="H15" s="105">
        <f>+H3</f>
        <v>0</v>
      </c>
      <c r="I15" s="53">
        <f>+Inputs!I15</f>
        <v>352</v>
      </c>
      <c r="J15" s="257">
        <v>0</v>
      </c>
      <c r="K15" s="257">
        <v>0</v>
      </c>
      <c r="L15" s="53">
        <f>+Inputs!J15</f>
        <v>0</v>
      </c>
      <c r="M15" s="53">
        <f>+Inputs!M15</f>
        <v>13</v>
      </c>
      <c r="N15" s="53">
        <f t="shared" si="5"/>
        <v>23299249.202183597</v>
      </c>
      <c r="O15" s="37">
        <f t="shared" si="0"/>
        <v>-1490790.147816401</v>
      </c>
      <c r="P15" s="45">
        <f t="shared" si="1"/>
        <v>-6.0136659194790713E-2</v>
      </c>
      <c r="Q15" s="12">
        <f t="shared" si="2"/>
        <v>6.0136659194790713E-2</v>
      </c>
      <c r="R15" s="12"/>
      <c r="S15" s="90" t="s">
        <v>11</v>
      </c>
      <c r="T15" s="90">
        <v>128</v>
      </c>
      <c r="U15" s="90">
        <v>279703478909116.78</v>
      </c>
      <c r="V15" s="90"/>
      <c r="W15" s="90"/>
      <c r="X15" s="90"/>
    </row>
    <row r="16" spans="1:24" x14ac:dyDescent="0.2">
      <c r="A16" s="3" t="str">
        <f t="shared" si="3"/>
        <v>20142</v>
      </c>
      <c r="B16" s="49">
        <f t="shared" si="4"/>
        <v>2014</v>
      </c>
      <c r="C16" s="52">
        <v>41698</v>
      </c>
      <c r="D16" s="53">
        <f>+Inputs!D16</f>
        <v>21747839.690000001</v>
      </c>
      <c r="E16" s="201">
        <v>630.40499999999997</v>
      </c>
      <c r="F16" s="201">
        <v>0</v>
      </c>
      <c r="G16" s="53">
        <f>+Inputs!G16</f>
        <v>28</v>
      </c>
      <c r="H16" s="105">
        <f t="shared" ref="H16:H79" si="6">+H4</f>
        <v>0</v>
      </c>
      <c r="I16" s="53">
        <f>+Inputs!I16</f>
        <v>304</v>
      </c>
      <c r="J16" s="257">
        <v>0</v>
      </c>
      <c r="K16" s="257">
        <v>0</v>
      </c>
      <c r="L16" s="53">
        <f>+Inputs!J16</f>
        <v>0</v>
      </c>
      <c r="M16" s="53">
        <f>+Inputs!M16</f>
        <v>14</v>
      </c>
      <c r="N16" s="53">
        <f t="shared" si="5"/>
        <v>21089473.760967322</v>
      </c>
      <c r="O16" s="37">
        <f t="shared" si="0"/>
        <v>-658365.92903267965</v>
      </c>
      <c r="P16" s="45">
        <f t="shared" si="1"/>
        <v>-3.0272704710776706E-2</v>
      </c>
      <c r="Q16" s="12">
        <f t="shared" si="2"/>
        <v>3.0272704710776706E-2</v>
      </c>
      <c r="R16" s="12"/>
    </row>
    <row r="17" spans="1:27" ht="25.5" x14ac:dyDescent="0.2">
      <c r="A17" s="3" t="str">
        <f t="shared" si="3"/>
        <v>20143</v>
      </c>
      <c r="B17" s="49">
        <f t="shared" si="4"/>
        <v>2014</v>
      </c>
      <c r="C17" s="52">
        <v>41729</v>
      </c>
      <c r="D17" s="53">
        <f>+Inputs!D17</f>
        <v>23077253.934999999</v>
      </c>
      <c r="E17" s="201">
        <v>547.82999999999993</v>
      </c>
      <c r="F17" s="201">
        <v>0</v>
      </c>
      <c r="G17" s="53">
        <f>+Inputs!G17</f>
        <v>31</v>
      </c>
      <c r="H17" s="105">
        <f t="shared" si="6"/>
        <v>0.33333333333333331</v>
      </c>
      <c r="I17" s="53">
        <f>+Inputs!I17</f>
        <v>336</v>
      </c>
      <c r="J17" s="257">
        <v>0</v>
      </c>
      <c r="K17" s="257">
        <v>0</v>
      </c>
      <c r="L17" s="53">
        <f>+Inputs!J17</f>
        <v>0</v>
      </c>
      <c r="M17" s="53">
        <f>+Inputs!M17</f>
        <v>15</v>
      </c>
      <c r="N17" s="53">
        <f t="shared" si="5"/>
        <v>22069375.274734061</v>
      </c>
      <c r="O17" s="37">
        <f t="shared" si="0"/>
        <v>-1007878.6602659374</v>
      </c>
      <c r="P17" s="45">
        <f t="shared" si="1"/>
        <v>-4.3674115781052417E-2</v>
      </c>
      <c r="Q17" s="12">
        <f t="shared" si="2"/>
        <v>4.3674115781052417E-2</v>
      </c>
      <c r="R17" s="12"/>
      <c r="S17" s="76"/>
      <c r="T17" s="76" t="s">
        <v>35</v>
      </c>
      <c r="U17" s="76" t="s">
        <v>24</v>
      </c>
      <c r="V17" s="76" t="s">
        <v>36</v>
      </c>
      <c r="W17" s="76" t="s">
        <v>37</v>
      </c>
      <c r="X17" s="76" t="s">
        <v>38</v>
      </c>
      <c r="Y17" s="76" t="s">
        <v>39</v>
      </c>
      <c r="Z17" s="76" t="s">
        <v>105</v>
      </c>
      <c r="AA17" s="76" t="s">
        <v>106</v>
      </c>
    </row>
    <row r="18" spans="1:27" x14ac:dyDescent="0.2">
      <c r="A18" s="3" t="str">
        <f t="shared" si="3"/>
        <v>20144</v>
      </c>
      <c r="B18" s="49">
        <f t="shared" si="4"/>
        <v>2014</v>
      </c>
      <c r="C18" s="52">
        <v>41759</v>
      </c>
      <c r="D18" s="53">
        <f>+Inputs!D18</f>
        <v>20129764.705000002</v>
      </c>
      <c r="E18" s="201">
        <v>338.72500000000002</v>
      </c>
      <c r="F18" s="201">
        <v>0.71000000000000008</v>
      </c>
      <c r="G18" s="53">
        <f>+Inputs!G18</f>
        <v>30</v>
      </c>
      <c r="H18" s="105">
        <f t="shared" si="6"/>
        <v>1</v>
      </c>
      <c r="I18" s="53">
        <f>+Inputs!I18</f>
        <v>336</v>
      </c>
      <c r="J18" s="257">
        <v>0</v>
      </c>
      <c r="K18" s="257">
        <v>0</v>
      </c>
      <c r="L18" s="53">
        <f>+Inputs!J18</f>
        <v>0</v>
      </c>
      <c r="M18" s="53">
        <f>+Inputs!M18</f>
        <v>16</v>
      </c>
      <c r="N18" s="53">
        <f t="shared" si="5"/>
        <v>20114275.978262734</v>
      </c>
      <c r="O18" s="37">
        <f t="shared" si="0"/>
        <v>-15488.726737268269</v>
      </c>
      <c r="P18" s="45">
        <f t="shared" si="1"/>
        <v>-7.6944400315921463E-4</v>
      </c>
      <c r="Q18" s="12">
        <f t="shared" si="2"/>
        <v>7.6944400315921463E-4</v>
      </c>
      <c r="R18" s="12"/>
      <c r="S18" t="s">
        <v>29</v>
      </c>
      <c r="T18" s="113">
        <v>2059104.3096541483</v>
      </c>
      <c r="U18" s="113">
        <v>1405762.4346619956</v>
      </c>
      <c r="V18" s="113">
        <v>1.464759804987422</v>
      </c>
      <c r="W18" s="113">
        <v>0.14562342492871955</v>
      </c>
      <c r="X18" s="113">
        <v>-724445.7135478803</v>
      </c>
      <c r="Y18" s="113">
        <v>4842654.3328561764</v>
      </c>
      <c r="Z18" s="113">
        <v>-724445.7135478803</v>
      </c>
      <c r="AA18" s="113">
        <v>4842654.3328561764</v>
      </c>
    </row>
    <row r="19" spans="1:27" x14ac:dyDescent="0.2">
      <c r="A19" s="3" t="str">
        <f t="shared" si="3"/>
        <v>20145</v>
      </c>
      <c r="B19" s="49">
        <f t="shared" si="4"/>
        <v>2014</v>
      </c>
      <c r="C19" s="52">
        <v>41790</v>
      </c>
      <c r="D19" s="53">
        <f>+Inputs!D19</f>
        <v>19632003.695</v>
      </c>
      <c r="E19" s="201">
        <v>144.06</v>
      </c>
      <c r="F19" s="201">
        <v>23.914999999999999</v>
      </c>
      <c r="G19" s="53">
        <f>+Inputs!G19</f>
        <v>31</v>
      </c>
      <c r="H19" s="105">
        <f t="shared" si="6"/>
        <v>1</v>
      </c>
      <c r="I19" s="53">
        <f>+Inputs!I19</f>
        <v>336</v>
      </c>
      <c r="J19" s="257">
        <v>0</v>
      </c>
      <c r="K19" s="257">
        <v>0</v>
      </c>
      <c r="L19" s="53">
        <f>+Inputs!J19</f>
        <v>0</v>
      </c>
      <c r="M19" s="53">
        <f>+Inputs!M19</f>
        <v>17</v>
      </c>
      <c r="N19" s="53">
        <f t="shared" si="5"/>
        <v>19990002.223310079</v>
      </c>
      <c r="O19" s="37">
        <f t="shared" si="0"/>
        <v>357998.52831007913</v>
      </c>
      <c r="P19" s="45">
        <f t="shared" si="1"/>
        <v>1.8235455426348378E-2</v>
      </c>
      <c r="Q19" s="12">
        <f t="shared" si="2"/>
        <v>1.8235455426348378E-2</v>
      </c>
      <c r="R19" s="12"/>
      <c r="S19" t="s">
        <v>4</v>
      </c>
      <c r="T19" s="113">
        <v>5775.5466782093754</v>
      </c>
      <c r="U19" s="113">
        <v>259.25164061134342</v>
      </c>
      <c r="V19" s="113">
        <v>22.277763275055893</v>
      </c>
      <c r="W19" s="113">
        <v>2.8411554085164421E-44</v>
      </c>
      <c r="X19" s="113">
        <v>5262.2025366635944</v>
      </c>
      <c r="Y19" s="113">
        <v>6288.8908197551564</v>
      </c>
      <c r="Z19" s="113">
        <v>5262.2025366635944</v>
      </c>
      <c r="AA19" s="113">
        <v>6288.8908197551564</v>
      </c>
    </row>
    <row r="20" spans="1:27" x14ac:dyDescent="0.2">
      <c r="A20" s="3" t="str">
        <f t="shared" si="3"/>
        <v>20146</v>
      </c>
      <c r="B20" s="49">
        <f t="shared" si="4"/>
        <v>2014</v>
      </c>
      <c r="C20" s="52">
        <v>41820</v>
      </c>
      <c r="D20" s="53">
        <f>+Inputs!D20</f>
        <v>20417295.370000001</v>
      </c>
      <c r="E20" s="201">
        <v>21.37</v>
      </c>
      <c r="F20" s="201">
        <v>69.710000000000008</v>
      </c>
      <c r="G20" s="53">
        <f>+Inputs!G20</f>
        <v>30</v>
      </c>
      <c r="H20" s="105">
        <f t="shared" si="6"/>
        <v>0.66666666666666663</v>
      </c>
      <c r="I20" s="53">
        <f>+Inputs!I20</f>
        <v>336</v>
      </c>
      <c r="J20" s="257">
        <v>0</v>
      </c>
      <c r="K20" s="257">
        <v>0</v>
      </c>
      <c r="L20" s="53">
        <f>+Inputs!J20</f>
        <v>0</v>
      </c>
      <c r="M20" s="53">
        <f>+Inputs!M20</f>
        <v>18</v>
      </c>
      <c r="N20" s="53">
        <f t="shared" si="5"/>
        <v>20167721.942952018</v>
      </c>
      <c r="O20" s="37">
        <f t="shared" si="0"/>
        <v>-249573.42704798281</v>
      </c>
      <c r="P20" s="45">
        <f t="shared" si="1"/>
        <v>-1.2223628180189412E-2</v>
      </c>
      <c r="Q20" s="12">
        <f t="shared" si="2"/>
        <v>1.2223628180189412E-2</v>
      </c>
      <c r="R20" s="12"/>
      <c r="S20" t="s">
        <v>5</v>
      </c>
      <c r="T20" s="113">
        <v>24345.377453510173</v>
      </c>
      <c r="U20" s="113">
        <v>1456.0523035533663</v>
      </c>
      <c r="V20" s="113">
        <v>16.720125639784673</v>
      </c>
      <c r="W20" s="113">
        <v>5.0611345966697879E-33</v>
      </c>
      <c r="X20" s="113">
        <v>21462.248467129306</v>
      </c>
      <c r="Y20" s="113">
        <v>27228.50643989104</v>
      </c>
      <c r="Z20" s="113">
        <v>21462.248467129306</v>
      </c>
      <c r="AA20" s="113">
        <v>27228.50643989104</v>
      </c>
    </row>
    <row r="21" spans="1:27" x14ac:dyDescent="0.2">
      <c r="A21" s="3" t="str">
        <f t="shared" si="3"/>
        <v>20147</v>
      </c>
      <c r="B21" s="49">
        <f t="shared" si="4"/>
        <v>2014</v>
      </c>
      <c r="C21" s="52">
        <v>41851</v>
      </c>
      <c r="D21" s="53">
        <f>+Inputs!D21</f>
        <v>20942891.695</v>
      </c>
      <c r="E21" s="201">
        <v>1.24</v>
      </c>
      <c r="F21" s="201">
        <v>140.78500000000003</v>
      </c>
      <c r="G21" s="53">
        <f>+Inputs!G21</f>
        <v>31</v>
      </c>
      <c r="H21" s="105">
        <f t="shared" si="6"/>
        <v>0</v>
      </c>
      <c r="I21" s="53">
        <f>+Inputs!I21</f>
        <v>352</v>
      </c>
      <c r="J21" s="257">
        <v>0</v>
      </c>
      <c r="K21" s="257">
        <v>0</v>
      </c>
      <c r="L21" s="53">
        <f>+Inputs!J21</f>
        <v>0</v>
      </c>
      <c r="M21" s="53">
        <f>+Inputs!M21</f>
        <v>19</v>
      </c>
      <c r="N21" s="53">
        <f t="shared" si="5"/>
        <v>22753338.226691343</v>
      </c>
      <c r="O21" s="37">
        <f t="shared" si="0"/>
        <v>1810446.5316913426</v>
      </c>
      <c r="P21" s="45">
        <f t="shared" si="1"/>
        <v>8.6446826830679585E-2</v>
      </c>
      <c r="Q21" s="12">
        <f t="shared" si="2"/>
        <v>8.6446826830679585E-2</v>
      </c>
      <c r="R21" s="12"/>
      <c r="S21" t="s">
        <v>6</v>
      </c>
      <c r="T21" s="113">
        <v>421184.08835954173</v>
      </c>
      <c r="U21" s="113">
        <v>52456.899630741755</v>
      </c>
      <c r="V21" s="113">
        <v>8.0291456667162944</v>
      </c>
      <c r="W21" s="113">
        <v>7.8938776359641301E-13</v>
      </c>
      <c r="X21" s="113">
        <v>317314.18788139574</v>
      </c>
      <c r="Y21" s="113">
        <v>525053.98883768776</v>
      </c>
      <c r="Z21" s="113">
        <v>317314.18788139574</v>
      </c>
      <c r="AA21" s="113">
        <v>525053.98883768776</v>
      </c>
    </row>
    <row r="22" spans="1:27" x14ac:dyDescent="0.2">
      <c r="A22" s="3" t="str">
        <f t="shared" si="3"/>
        <v>20148</v>
      </c>
      <c r="B22" s="49">
        <f t="shared" si="4"/>
        <v>2014</v>
      </c>
      <c r="C22" s="52">
        <v>41882</v>
      </c>
      <c r="D22" s="53">
        <f>+Inputs!D22</f>
        <v>20954818.989999998</v>
      </c>
      <c r="E22" s="201">
        <v>3.5549999999999997</v>
      </c>
      <c r="F22" s="201">
        <v>122.37</v>
      </c>
      <c r="G22" s="53">
        <f>+Inputs!G22</f>
        <v>31</v>
      </c>
      <c r="H22" s="105">
        <f t="shared" si="6"/>
        <v>0</v>
      </c>
      <c r="I22" s="53">
        <f>+Inputs!I22</f>
        <v>336</v>
      </c>
      <c r="J22" s="257">
        <v>0</v>
      </c>
      <c r="K22" s="257">
        <v>0</v>
      </c>
      <c r="L22" s="53">
        <f>+Inputs!J22</f>
        <v>0</v>
      </c>
      <c r="M22" s="53">
        <f>+Inputs!M22</f>
        <v>20</v>
      </c>
      <c r="N22" s="53">
        <f t="shared" si="5"/>
        <v>22153260.382876091</v>
      </c>
      <c r="O22" s="37">
        <f t="shared" si="0"/>
        <v>1198441.3928760923</v>
      </c>
      <c r="P22" s="45">
        <f t="shared" si="1"/>
        <v>5.7191684330368558E-2</v>
      </c>
      <c r="Q22" s="12">
        <f t="shared" si="2"/>
        <v>5.7191684330368558E-2</v>
      </c>
      <c r="R22" s="12"/>
      <c r="S22" t="s">
        <v>18</v>
      </c>
      <c r="T22" s="113">
        <v>-536113.80742429639</v>
      </c>
      <c r="U22" s="113">
        <v>127428.21014693625</v>
      </c>
      <c r="V22" s="113">
        <v>-4.2071830625738889</v>
      </c>
      <c r="W22" s="113">
        <v>5.039702188395719E-5</v>
      </c>
      <c r="X22" s="113">
        <v>-788434.39059337415</v>
      </c>
      <c r="Y22" s="113">
        <v>-283793.22425521864</v>
      </c>
      <c r="Z22" s="113">
        <v>-788434.39059337415</v>
      </c>
      <c r="AA22" s="113">
        <v>-283793.22425521864</v>
      </c>
    </row>
    <row r="23" spans="1:27" x14ac:dyDescent="0.2">
      <c r="A23" s="3" t="str">
        <f t="shared" si="3"/>
        <v>20149</v>
      </c>
      <c r="B23" s="49">
        <f t="shared" si="4"/>
        <v>2014</v>
      </c>
      <c r="C23" s="52">
        <v>41912</v>
      </c>
      <c r="D23" s="53">
        <f>+Inputs!D23</f>
        <v>20036155.765000001</v>
      </c>
      <c r="E23" s="201">
        <v>44.225000000000009</v>
      </c>
      <c r="F23" s="201">
        <v>50.904999999999987</v>
      </c>
      <c r="G23" s="53">
        <f>+Inputs!G23</f>
        <v>30</v>
      </c>
      <c r="H23" s="105">
        <f t="shared" si="6"/>
        <v>0.33333333333333331</v>
      </c>
      <c r="I23" s="53">
        <f>+Inputs!I23</f>
        <v>336</v>
      </c>
      <c r="J23" s="257">
        <v>0</v>
      </c>
      <c r="K23" s="257">
        <v>0</v>
      </c>
      <c r="L23" s="53">
        <f>+Inputs!J23</f>
        <v>0</v>
      </c>
      <c r="M23" s="53">
        <f>+Inputs!M23</f>
        <v>21</v>
      </c>
      <c r="N23" s="53">
        <f t="shared" si="5"/>
        <v>20062325.242722183</v>
      </c>
      <c r="O23" s="37">
        <f t="shared" si="0"/>
        <v>26169.47772218287</v>
      </c>
      <c r="P23" s="45">
        <f t="shared" si="1"/>
        <v>1.3061127108972078E-3</v>
      </c>
      <c r="Q23" s="12">
        <f t="shared" si="2"/>
        <v>1.3061127108972078E-3</v>
      </c>
      <c r="R23" s="12"/>
      <c r="S23" t="s">
        <v>7</v>
      </c>
      <c r="T23" s="113">
        <v>11189.535972602769</v>
      </c>
      <c r="U23" s="113">
        <v>2439.0467665497476</v>
      </c>
      <c r="V23" s="113">
        <v>4.5876676601947164</v>
      </c>
      <c r="W23" s="113">
        <v>1.117480938233171E-5</v>
      </c>
      <c r="X23" s="113">
        <v>6359.9797714849083</v>
      </c>
      <c r="Y23" s="113">
        <v>16019.09217372063</v>
      </c>
      <c r="Z23" s="113">
        <v>6359.9797714849083</v>
      </c>
      <c r="AA23" s="113">
        <v>16019.09217372063</v>
      </c>
    </row>
    <row r="24" spans="1:27" x14ac:dyDescent="0.2">
      <c r="A24" s="3" t="str">
        <f t="shared" si="3"/>
        <v>201410</v>
      </c>
      <c r="B24" s="49">
        <f t="shared" si="4"/>
        <v>2014</v>
      </c>
      <c r="C24" s="52">
        <v>41943</v>
      </c>
      <c r="D24" s="53">
        <f>+Inputs!D24</f>
        <v>20750967.593591224</v>
      </c>
      <c r="E24" s="201">
        <v>222.22000000000003</v>
      </c>
      <c r="F24" s="201">
        <v>3.3</v>
      </c>
      <c r="G24" s="53">
        <f>+Inputs!G24</f>
        <v>31</v>
      </c>
      <c r="H24" s="105">
        <f t="shared" si="6"/>
        <v>1</v>
      </c>
      <c r="I24" s="53">
        <f>+Inputs!I24</f>
        <v>352</v>
      </c>
      <c r="J24" s="257">
        <v>0</v>
      </c>
      <c r="K24" s="257">
        <v>0</v>
      </c>
      <c r="L24" s="53">
        <f>+Inputs!J24</f>
        <v>0</v>
      </c>
      <c r="M24" s="53">
        <f>+Inputs!M24</f>
        <v>22</v>
      </c>
      <c r="N24" s="53">
        <f t="shared" si="5"/>
        <v>20188093.906000093</v>
      </c>
      <c r="O24" s="37">
        <f t="shared" si="0"/>
        <v>-562873.68759113178</v>
      </c>
      <c r="P24" s="45">
        <f t="shared" si="1"/>
        <v>-2.7125177900859474E-2</v>
      </c>
      <c r="Q24" s="12">
        <f t="shared" si="2"/>
        <v>2.7125177900859474E-2</v>
      </c>
      <c r="R24" s="12"/>
      <c r="S24" t="s">
        <v>288</v>
      </c>
      <c r="T24" s="113">
        <v>-37386.467023977246</v>
      </c>
      <c r="U24" s="113">
        <v>118125.91064410689</v>
      </c>
      <c r="V24" s="113">
        <v>-0.31649675181439457</v>
      </c>
      <c r="W24" s="113">
        <v>0.75218000446036948</v>
      </c>
      <c r="X24" s="113">
        <v>-271287.56809673714</v>
      </c>
      <c r="Y24" s="113">
        <v>196514.63404878264</v>
      </c>
      <c r="Z24" s="113">
        <v>-271287.56809673714</v>
      </c>
      <c r="AA24" s="113">
        <v>196514.63404878264</v>
      </c>
    </row>
    <row r="25" spans="1:27" x14ac:dyDescent="0.2">
      <c r="A25" s="3" t="str">
        <f t="shared" si="3"/>
        <v>201411</v>
      </c>
      <c r="B25" s="49">
        <f t="shared" si="4"/>
        <v>2014</v>
      </c>
      <c r="C25" s="52">
        <v>41973</v>
      </c>
      <c r="D25" s="53">
        <f>+Inputs!D25</f>
        <v>21634719.905000001</v>
      </c>
      <c r="E25" s="201">
        <v>420.84500000000008</v>
      </c>
      <c r="F25" s="201">
        <v>0.09</v>
      </c>
      <c r="G25" s="53">
        <f>+Inputs!G25</f>
        <v>30</v>
      </c>
      <c r="H25" s="105">
        <f t="shared" si="6"/>
        <v>1</v>
      </c>
      <c r="I25" s="53">
        <f>+Inputs!I25</f>
        <v>320</v>
      </c>
      <c r="J25" s="257">
        <v>0</v>
      </c>
      <c r="K25" s="257">
        <v>0</v>
      </c>
      <c r="L25" s="53">
        <f>+Inputs!J25</f>
        <v>0</v>
      </c>
      <c r="M25" s="53">
        <f>+Inputs!M25</f>
        <v>23</v>
      </c>
      <c r="N25" s="53">
        <f t="shared" si="5"/>
        <v>20491768.430843558</v>
      </c>
      <c r="O25" s="37">
        <f t="shared" si="0"/>
        <v>-1142951.474156443</v>
      </c>
      <c r="P25" s="45">
        <f t="shared" si="1"/>
        <v>-5.2829501799664877E-2</v>
      </c>
      <c r="Q25" s="12">
        <f t="shared" si="2"/>
        <v>5.2829501799664877E-2</v>
      </c>
      <c r="R25" s="12"/>
      <c r="S25" t="s">
        <v>287</v>
      </c>
      <c r="T25" s="113">
        <v>407469.95693033712</v>
      </c>
      <c r="U25" s="113">
        <v>151968.42002560635</v>
      </c>
      <c r="V25" s="113">
        <v>2.6812804717037877</v>
      </c>
      <c r="W25" s="113">
        <v>8.3756336643793332E-3</v>
      </c>
      <c r="X25" s="113">
        <v>106557.3072122772</v>
      </c>
      <c r="Y25" s="113">
        <v>708382.60664839705</v>
      </c>
      <c r="Z25" s="113">
        <v>106557.3072122772</v>
      </c>
      <c r="AA25" s="113">
        <v>708382.60664839705</v>
      </c>
    </row>
    <row r="26" spans="1:27" x14ac:dyDescent="0.2">
      <c r="A26" s="3" t="str">
        <f t="shared" si="3"/>
        <v>201412</v>
      </c>
      <c r="B26" s="49">
        <f t="shared" si="4"/>
        <v>2014</v>
      </c>
      <c r="C26" s="52">
        <v>42004</v>
      </c>
      <c r="D26" s="53">
        <f>+Inputs!D26</f>
        <v>22349924.59</v>
      </c>
      <c r="E26" s="201">
        <v>579.06000000000006</v>
      </c>
      <c r="F26" s="201">
        <v>0</v>
      </c>
      <c r="G26" s="53">
        <f>+Inputs!G26</f>
        <v>31</v>
      </c>
      <c r="H26" s="105">
        <f t="shared" si="6"/>
        <v>0.66666666666666663</v>
      </c>
      <c r="I26" s="53">
        <f>+Inputs!I26</f>
        <v>336</v>
      </c>
      <c r="J26" s="257">
        <v>0</v>
      </c>
      <c r="K26" s="257">
        <v>0</v>
      </c>
      <c r="L26" s="53">
        <f>+Inputs!J26</f>
        <v>0</v>
      </c>
      <c r="M26" s="53">
        <f>+Inputs!M26</f>
        <v>24</v>
      </c>
      <c r="N26" s="53">
        <f t="shared" si="5"/>
        <v>22196181.197954316</v>
      </c>
      <c r="O26" s="37">
        <f t="shared" si="0"/>
        <v>-153743.39204568416</v>
      </c>
      <c r="P26" s="45">
        <f t="shared" si="1"/>
        <v>-6.8789221827832642E-3</v>
      </c>
      <c r="Q26" s="12">
        <f t="shared" si="2"/>
        <v>6.8789221827832642E-3</v>
      </c>
      <c r="R26" s="12"/>
      <c r="S26" t="s">
        <v>145</v>
      </c>
      <c r="T26" s="113">
        <v>-2219461.8596619349</v>
      </c>
      <c r="U26" s="113">
        <v>431737.76511455531</v>
      </c>
      <c r="V26" s="113">
        <v>-5.1407637668042154</v>
      </c>
      <c r="W26" s="113">
        <v>1.0870144312508794E-6</v>
      </c>
      <c r="X26" s="113">
        <v>-3074345.7550270623</v>
      </c>
      <c r="Y26" s="113">
        <v>-1364577.9642968075</v>
      </c>
      <c r="Z26" s="113">
        <v>-3074345.7550270623</v>
      </c>
      <c r="AA26" s="113">
        <v>-1364577.9642968075</v>
      </c>
    </row>
    <row r="27" spans="1:27" ht="13.5" thickBot="1" x14ac:dyDescent="0.25">
      <c r="A27" s="3" t="str">
        <f t="shared" si="3"/>
        <v>20151</v>
      </c>
      <c r="B27" s="49">
        <f t="shared" si="4"/>
        <v>2015</v>
      </c>
      <c r="C27" s="52">
        <v>42035</v>
      </c>
      <c r="D27" s="53">
        <f>+Inputs!D27</f>
        <v>24334160.370000001</v>
      </c>
      <c r="E27" s="201">
        <v>703.65</v>
      </c>
      <c r="F27" s="201">
        <v>0</v>
      </c>
      <c r="G27" s="53">
        <f>+Inputs!G27</f>
        <v>31</v>
      </c>
      <c r="H27" s="105">
        <f t="shared" si="6"/>
        <v>0</v>
      </c>
      <c r="I27" s="53">
        <f>+Inputs!I27</f>
        <v>336</v>
      </c>
      <c r="J27" s="257">
        <v>0</v>
      </c>
      <c r="K27" s="257">
        <v>0</v>
      </c>
      <c r="L27" s="53">
        <f>+Inputs!J27</f>
        <v>0</v>
      </c>
      <c r="M27" s="53">
        <f>+Inputs!M27</f>
        <v>25</v>
      </c>
      <c r="N27" s="53">
        <f t="shared" si="5"/>
        <v>23287070.23053468</v>
      </c>
      <c r="O27" s="37">
        <f t="shared" si="0"/>
        <v>-1047090.1394653209</v>
      </c>
      <c r="P27" s="45">
        <f t="shared" si="1"/>
        <v>-4.3029639138739709E-2</v>
      </c>
      <c r="Q27" s="12">
        <f t="shared" si="2"/>
        <v>4.3029639138739709E-2</v>
      </c>
      <c r="S27" s="90" t="s">
        <v>70</v>
      </c>
      <c r="T27" s="114">
        <v>13904.46699272733</v>
      </c>
      <c r="U27" s="114">
        <v>1279.3817839071648</v>
      </c>
      <c r="V27" s="114">
        <v>10.868113934109502</v>
      </c>
      <c r="W27" s="114">
        <v>1.5700706467555158E-19</v>
      </c>
      <c r="X27" s="114">
        <v>11371.16328047149</v>
      </c>
      <c r="Y27" s="114">
        <v>16437.77070498317</v>
      </c>
      <c r="Z27" s="114">
        <v>11371.16328047149</v>
      </c>
      <c r="AA27" s="114">
        <v>16437.77070498317</v>
      </c>
    </row>
    <row r="28" spans="1:27" x14ac:dyDescent="0.2">
      <c r="A28" s="3" t="str">
        <f t="shared" si="3"/>
        <v>20152</v>
      </c>
      <c r="B28" s="49">
        <f t="shared" si="4"/>
        <v>2015</v>
      </c>
      <c r="C28" s="52">
        <v>42063</v>
      </c>
      <c r="D28" s="53">
        <f>+Inputs!D28</f>
        <v>22733400.235000003</v>
      </c>
      <c r="E28" s="201">
        <v>630.40499999999997</v>
      </c>
      <c r="F28" s="201">
        <v>0</v>
      </c>
      <c r="G28" s="53">
        <f>+Inputs!G28</f>
        <v>28</v>
      </c>
      <c r="H28" s="105">
        <f t="shared" si="6"/>
        <v>0</v>
      </c>
      <c r="I28" s="53">
        <f>+Inputs!I28</f>
        <v>304</v>
      </c>
      <c r="J28" s="257">
        <v>0</v>
      </c>
      <c r="K28" s="257">
        <v>0</v>
      </c>
      <c r="L28" s="53">
        <f>+Inputs!J28</f>
        <v>0</v>
      </c>
      <c r="M28" s="53">
        <f>+Inputs!M28</f>
        <v>26</v>
      </c>
      <c r="N28" s="53">
        <f t="shared" si="5"/>
        <v>21256327.364880048</v>
      </c>
      <c r="O28" s="37">
        <f t="shared" si="0"/>
        <v>-1477072.8701199554</v>
      </c>
      <c r="P28" s="45">
        <f t="shared" si="1"/>
        <v>-6.4973688706974689E-2</v>
      </c>
      <c r="Q28" s="12">
        <f t="shared" si="2"/>
        <v>6.4973688706974689E-2</v>
      </c>
    </row>
    <row r="29" spans="1:27" x14ac:dyDescent="0.2">
      <c r="A29" s="3" t="str">
        <f t="shared" si="3"/>
        <v>20153</v>
      </c>
      <c r="B29" s="49">
        <f t="shared" si="4"/>
        <v>2015</v>
      </c>
      <c r="C29" s="52">
        <v>42094</v>
      </c>
      <c r="D29" s="53">
        <f>+Inputs!D29</f>
        <v>22719770.995000001</v>
      </c>
      <c r="E29" s="201">
        <v>547.82999999999993</v>
      </c>
      <c r="F29" s="201">
        <v>0</v>
      </c>
      <c r="G29" s="53">
        <f>+Inputs!G29</f>
        <v>31</v>
      </c>
      <c r="H29" s="105">
        <f t="shared" si="6"/>
        <v>0.33333333333333331</v>
      </c>
      <c r="I29" s="53">
        <f>+Inputs!I29</f>
        <v>352</v>
      </c>
      <c r="J29" s="257">
        <v>0</v>
      </c>
      <c r="K29" s="257">
        <v>0</v>
      </c>
      <c r="L29" s="53">
        <f>+Inputs!J29</f>
        <v>0</v>
      </c>
      <c r="M29" s="53">
        <f>+Inputs!M29</f>
        <v>27</v>
      </c>
      <c r="N29" s="53">
        <f t="shared" si="5"/>
        <v>22415261.454208434</v>
      </c>
      <c r="O29" s="37">
        <f t="shared" si="0"/>
        <v>-304509.54079156741</v>
      </c>
      <c r="P29" s="45">
        <f t="shared" si="1"/>
        <v>-1.3402843754832812E-2</v>
      </c>
      <c r="Q29" s="12">
        <f t="shared" si="2"/>
        <v>1.3402843754832812E-2</v>
      </c>
    </row>
    <row r="30" spans="1:27" x14ac:dyDescent="0.2">
      <c r="A30" s="3" t="str">
        <f t="shared" si="3"/>
        <v>20154</v>
      </c>
      <c r="B30" s="49">
        <f t="shared" si="4"/>
        <v>2015</v>
      </c>
      <c r="C30" s="52">
        <v>42124</v>
      </c>
      <c r="D30" s="53">
        <f>+Inputs!D30</f>
        <v>19884327.555</v>
      </c>
      <c r="E30" s="201">
        <v>338.72500000000002</v>
      </c>
      <c r="F30" s="201">
        <v>0.71000000000000008</v>
      </c>
      <c r="G30" s="53">
        <f>+Inputs!G30</f>
        <v>30</v>
      </c>
      <c r="H30" s="105">
        <f t="shared" si="6"/>
        <v>1</v>
      </c>
      <c r="I30" s="53">
        <f>+Inputs!I30</f>
        <v>336</v>
      </c>
      <c r="J30" s="257">
        <v>0</v>
      </c>
      <c r="K30" s="257">
        <v>0</v>
      </c>
      <c r="L30" s="53">
        <f>+Inputs!J30</f>
        <v>0</v>
      </c>
      <c r="M30" s="53">
        <f>+Inputs!M30</f>
        <v>28</v>
      </c>
      <c r="N30" s="53">
        <f t="shared" si="5"/>
        <v>20281129.582175463</v>
      </c>
      <c r="O30" s="37">
        <f t="shared" si="0"/>
        <v>396802.02717546374</v>
      </c>
      <c r="P30" s="45">
        <f t="shared" si="1"/>
        <v>1.9955516528175787E-2</v>
      </c>
      <c r="Q30" s="12">
        <f t="shared" si="2"/>
        <v>1.9955516528175787E-2</v>
      </c>
    </row>
    <row r="31" spans="1:27" x14ac:dyDescent="0.2">
      <c r="A31" s="3" t="str">
        <f t="shared" si="3"/>
        <v>20155</v>
      </c>
      <c r="B31" s="49">
        <f t="shared" si="4"/>
        <v>2015</v>
      </c>
      <c r="C31" s="52">
        <v>42155</v>
      </c>
      <c r="D31" s="53">
        <f>+Inputs!D31</f>
        <v>20081857.650000002</v>
      </c>
      <c r="E31" s="201">
        <v>144.06</v>
      </c>
      <c r="F31" s="201">
        <v>23.914999999999999</v>
      </c>
      <c r="G31" s="53">
        <f>+Inputs!G31</f>
        <v>31</v>
      </c>
      <c r="H31" s="105">
        <f t="shared" si="6"/>
        <v>1</v>
      </c>
      <c r="I31" s="53">
        <f>+Inputs!I31</f>
        <v>320</v>
      </c>
      <c r="J31" s="257">
        <v>0</v>
      </c>
      <c r="K31" s="257">
        <v>0</v>
      </c>
      <c r="L31" s="53">
        <f>+Inputs!J31</f>
        <v>0</v>
      </c>
      <c r="M31" s="53">
        <f>+Inputs!M31</f>
        <v>29</v>
      </c>
      <c r="N31" s="53">
        <f t="shared" si="5"/>
        <v>19977823.251661163</v>
      </c>
      <c r="O31" s="37">
        <f t="shared" si="0"/>
        <v>-104034.39833883941</v>
      </c>
      <c r="P31" s="45">
        <f t="shared" si="1"/>
        <v>-5.1805166709186093E-3</v>
      </c>
      <c r="Q31" s="12">
        <f t="shared" si="2"/>
        <v>5.1805166709186093E-3</v>
      </c>
      <c r="S31" s="47" t="s">
        <v>275</v>
      </c>
    </row>
    <row r="32" spans="1:27" x14ac:dyDescent="0.2">
      <c r="A32" s="3" t="str">
        <f t="shared" si="3"/>
        <v>20156</v>
      </c>
      <c r="B32" s="49">
        <f t="shared" si="4"/>
        <v>2015</v>
      </c>
      <c r="C32" s="52">
        <v>42185</v>
      </c>
      <c r="D32" s="53">
        <f>+Inputs!D32</f>
        <v>19967931.074999999</v>
      </c>
      <c r="E32" s="201">
        <v>21.37</v>
      </c>
      <c r="F32" s="201">
        <v>69.710000000000008</v>
      </c>
      <c r="G32" s="53">
        <f>+Inputs!G32</f>
        <v>30</v>
      </c>
      <c r="H32" s="105">
        <f t="shared" si="6"/>
        <v>0.66666666666666663</v>
      </c>
      <c r="I32" s="53">
        <f>+Inputs!I32</f>
        <v>352</v>
      </c>
      <c r="J32" s="257">
        <v>0</v>
      </c>
      <c r="K32" s="257">
        <v>0</v>
      </c>
      <c r="L32" s="53">
        <f>+Inputs!J32</f>
        <v>0</v>
      </c>
      <c r="M32" s="53">
        <f>+Inputs!M32</f>
        <v>30</v>
      </c>
      <c r="N32" s="53">
        <f t="shared" si="5"/>
        <v>20513608.122426391</v>
      </c>
      <c r="O32" s="37">
        <f t="shared" si="0"/>
        <v>545677.04742639139</v>
      </c>
      <c r="P32" s="45">
        <f t="shared" si="1"/>
        <v>2.7327670822621337E-2</v>
      </c>
      <c r="Q32" s="12">
        <f t="shared" si="2"/>
        <v>2.7327670822621337E-2</v>
      </c>
      <c r="S32" t="s">
        <v>19</v>
      </c>
      <c r="T32" s="223"/>
    </row>
    <row r="33" spans="1:27" x14ac:dyDescent="0.2">
      <c r="A33" s="3" t="str">
        <f t="shared" si="3"/>
        <v>20157</v>
      </c>
      <c r="B33" s="49">
        <f t="shared" si="4"/>
        <v>2015</v>
      </c>
      <c r="C33" s="52">
        <v>42216</v>
      </c>
      <c r="D33" s="53">
        <f>+Inputs!D33</f>
        <v>22033398.199999999</v>
      </c>
      <c r="E33" s="201">
        <v>1.24</v>
      </c>
      <c r="F33" s="201">
        <v>140.78500000000003</v>
      </c>
      <c r="G33" s="53">
        <f>+Inputs!G33</f>
        <v>31</v>
      </c>
      <c r="H33" s="105">
        <f t="shared" si="6"/>
        <v>0</v>
      </c>
      <c r="I33" s="53">
        <f>+Inputs!I33</f>
        <v>352</v>
      </c>
      <c r="J33" s="257">
        <v>0</v>
      </c>
      <c r="K33" s="257">
        <v>0</v>
      </c>
      <c r="L33" s="53">
        <f>+Inputs!J33</f>
        <v>0</v>
      </c>
      <c r="M33" s="53">
        <f>+Inputs!M33</f>
        <v>31</v>
      </c>
      <c r="N33" s="53">
        <f t="shared" si="5"/>
        <v>22920191.830604073</v>
      </c>
      <c r="O33" s="37">
        <f t="shared" si="0"/>
        <v>886793.63060407341</v>
      </c>
      <c r="P33" s="45">
        <f t="shared" si="1"/>
        <v>4.0247701355666209E-2</v>
      </c>
      <c r="Q33" s="12">
        <f t="shared" si="2"/>
        <v>4.0247701355666209E-2</v>
      </c>
      <c r="R33"/>
    </row>
    <row r="34" spans="1:27" x14ac:dyDescent="0.2">
      <c r="A34" s="3" t="str">
        <f t="shared" si="3"/>
        <v>20158</v>
      </c>
      <c r="B34" s="49">
        <f t="shared" si="4"/>
        <v>2015</v>
      </c>
      <c r="C34" s="52">
        <v>42247</v>
      </c>
      <c r="D34" s="53">
        <f>+Inputs!D34</f>
        <v>21201546.775000002</v>
      </c>
      <c r="E34" s="201">
        <v>3.5549999999999997</v>
      </c>
      <c r="F34" s="201">
        <v>122.37</v>
      </c>
      <c r="G34" s="53">
        <f>+Inputs!G34</f>
        <v>31</v>
      </c>
      <c r="H34" s="105">
        <f t="shared" si="6"/>
        <v>0</v>
      </c>
      <c r="I34" s="53">
        <f>+Inputs!I34</f>
        <v>336</v>
      </c>
      <c r="J34" s="257">
        <v>0</v>
      </c>
      <c r="K34" s="257">
        <v>0</v>
      </c>
      <c r="L34" s="53">
        <f>+Inputs!J34</f>
        <v>0</v>
      </c>
      <c r="M34" s="53">
        <f>+Inputs!M34</f>
        <v>32</v>
      </c>
      <c r="N34" s="53">
        <f t="shared" si="5"/>
        <v>22320113.98678882</v>
      </c>
      <c r="O34" s="37">
        <f t="shared" si="0"/>
        <v>1118567.2117888182</v>
      </c>
      <c r="P34" s="45">
        <f t="shared" si="1"/>
        <v>5.2758754993658626E-2</v>
      </c>
      <c r="Q34" s="12">
        <f t="shared" si="2"/>
        <v>5.2758754993658626E-2</v>
      </c>
      <c r="R34"/>
      <c r="S34" s="76" t="s">
        <v>20</v>
      </c>
      <c r="T34" s="76"/>
    </row>
    <row r="35" spans="1:27" x14ac:dyDescent="0.2">
      <c r="A35" s="3" t="str">
        <f t="shared" si="3"/>
        <v>20159</v>
      </c>
      <c r="B35" s="49">
        <f t="shared" si="4"/>
        <v>2015</v>
      </c>
      <c r="C35" s="52">
        <v>42277</v>
      </c>
      <c r="D35" s="53">
        <f>+Inputs!D35</f>
        <v>21227652.564999998</v>
      </c>
      <c r="E35" s="201">
        <v>44.225000000000009</v>
      </c>
      <c r="F35" s="201">
        <v>50.904999999999987</v>
      </c>
      <c r="G35" s="53">
        <f>+Inputs!G35</f>
        <v>30</v>
      </c>
      <c r="H35" s="105">
        <f t="shared" si="6"/>
        <v>0.33333333333333331</v>
      </c>
      <c r="I35" s="53">
        <f>+Inputs!I35</f>
        <v>336</v>
      </c>
      <c r="J35" s="257">
        <v>0</v>
      </c>
      <c r="K35" s="257">
        <v>0</v>
      </c>
      <c r="L35" s="53">
        <f>+Inputs!J35</f>
        <v>0</v>
      </c>
      <c r="M35" s="53">
        <f>+Inputs!M35</f>
        <v>33</v>
      </c>
      <c r="N35" s="53">
        <f t="shared" si="5"/>
        <v>20229178.84663491</v>
      </c>
      <c r="O35" s="37">
        <f t="shared" si="0"/>
        <v>-998473.71836508811</v>
      </c>
      <c r="P35" s="45">
        <f t="shared" si="1"/>
        <v>-4.7036464126578199E-2</v>
      </c>
      <c r="Q35" s="12">
        <f t="shared" si="2"/>
        <v>4.7036464126578199E-2</v>
      </c>
      <c r="R35"/>
      <c r="S35" t="s">
        <v>21</v>
      </c>
      <c r="T35" s="112">
        <v>0.95903034844094093</v>
      </c>
    </row>
    <row r="36" spans="1:27" x14ac:dyDescent="0.2">
      <c r="A36" s="3" t="str">
        <f t="shared" si="3"/>
        <v>201510</v>
      </c>
      <c r="B36" s="49">
        <f t="shared" si="4"/>
        <v>2015</v>
      </c>
      <c r="C36" s="52">
        <v>42308</v>
      </c>
      <c r="D36" s="53">
        <f>+Inputs!D36</f>
        <v>20191537.286509268</v>
      </c>
      <c r="E36" s="201">
        <v>222.22000000000003</v>
      </c>
      <c r="F36" s="201">
        <v>3.3</v>
      </c>
      <c r="G36" s="53">
        <f>+Inputs!G36</f>
        <v>31</v>
      </c>
      <c r="H36" s="105">
        <f t="shared" si="6"/>
        <v>1</v>
      </c>
      <c r="I36" s="53">
        <f>+Inputs!I36</f>
        <v>336</v>
      </c>
      <c r="J36" s="257">
        <v>0</v>
      </c>
      <c r="K36" s="257">
        <v>0</v>
      </c>
      <c r="L36" s="53">
        <f>+Inputs!J36</f>
        <v>0</v>
      </c>
      <c r="M36" s="53">
        <f>+Inputs!M36</f>
        <v>34</v>
      </c>
      <c r="N36" s="53">
        <f t="shared" si="5"/>
        <v>20175914.934351176</v>
      </c>
      <c r="O36" s="37">
        <f t="shared" si="0"/>
        <v>-15622.352158091962</v>
      </c>
      <c r="P36" s="45">
        <f t="shared" si="1"/>
        <v>-7.7370791220190299E-4</v>
      </c>
      <c r="Q36" s="12">
        <f t="shared" si="2"/>
        <v>7.7370791220190299E-4</v>
      </c>
      <c r="R36"/>
      <c r="S36" t="s">
        <v>22</v>
      </c>
      <c r="T36" s="112">
        <v>0.91973920923075259</v>
      </c>
    </row>
    <row r="37" spans="1:27" x14ac:dyDescent="0.2">
      <c r="A37" s="3" t="str">
        <f t="shared" si="3"/>
        <v>201511</v>
      </c>
      <c r="B37" s="49">
        <f t="shared" si="4"/>
        <v>2015</v>
      </c>
      <c r="C37" s="52">
        <v>42338</v>
      </c>
      <c r="D37" s="53">
        <f>+Inputs!D37</f>
        <v>20615659.954999998</v>
      </c>
      <c r="E37" s="201">
        <v>420.84500000000008</v>
      </c>
      <c r="F37" s="201">
        <v>0.09</v>
      </c>
      <c r="G37" s="53">
        <f>+Inputs!G37</f>
        <v>30</v>
      </c>
      <c r="H37" s="105">
        <f t="shared" si="6"/>
        <v>1</v>
      </c>
      <c r="I37" s="53">
        <f>+Inputs!I37</f>
        <v>336</v>
      </c>
      <c r="J37" s="257">
        <v>0</v>
      </c>
      <c r="K37" s="257">
        <v>0</v>
      </c>
      <c r="L37" s="53">
        <f>+Inputs!J37</f>
        <v>0</v>
      </c>
      <c r="M37" s="53">
        <f>+Inputs!M37</f>
        <v>35</v>
      </c>
      <c r="N37" s="53">
        <f t="shared" si="5"/>
        <v>20837654.610317931</v>
      </c>
      <c r="O37" s="37">
        <f t="shared" si="0"/>
        <v>221994.65531793237</v>
      </c>
      <c r="P37" s="45">
        <f t="shared" si="1"/>
        <v>1.0768253638375089E-2</v>
      </c>
      <c r="Q37" s="12">
        <f t="shared" si="2"/>
        <v>1.0768253638375089E-2</v>
      </c>
      <c r="R37"/>
      <c r="S37" t="s">
        <v>23</v>
      </c>
      <c r="T37" s="112">
        <v>0.9150960229879036</v>
      </c>
    </row>
    <row r="38" spans="1:27" x14ac:dyDescent="0.2">
      <c r="A38" s="3" t="str">
        <f t="shared" si="3"/>
        <v>201512</v>
      </c>
      <c r="B38" s="49">
        <f t="shared" si="4"/>
        <v>2015</v>
      </c>
      <c r="C38" s="52">
        <v>42369</v>
      </c>
      <c r="D38" s="53">
        <f>+Inputs!D38</f>
        <v>21383445.974999998</v>
      </c>
      <c r="E38" s="201">
        <v>579.06000000000006</v>
      </c>
      <c r="F38" s="201">
        <v>0</v>
      </c>
      <c r="G38" s="53">
        <f>+Inputs!G38</f>
        <v>31</v>
      </c>
      <c r="H38" s="105">
        <f t="shared" si="6"/>
        <v>0.66666666666666663</v>
      </c>
      <c r="I38" s="53">
        <f>+Inputs!I38</f>
        <v>336</v>
      </c>
      <c r="J38" s="257">
        <v>0</v>
      </c>
      <c r="K38" s="257">
        <v>0</v>
      </c>
      <c r="L38" s="53">
        <f>+Inputs!J38</f>
        <v>0</v>
      </c>
      <c r="M38" s="53">
        <f>+Inputs!M38</f>
        <v>36</v>
      </c>
      <c r="N38" s="53">
        <f t="shared" si="5"/>
        <v>22363034.801867045</v>
      </c>
      <c r="O38" s="37">
        <f t="shared" si="0"/>
        <v>979588.8268670477</v>
      </c>
      <c r="P38" s="45">
        <f t="shared" si="1"/>
        <v>4.5810615745110174E-2</v>
      </c>
      <c r="Q38" s="12">
        <f t="shared" si="2"/>
        <v>4.5810615745110174E-2</v>
      </c>
      <c r="R38"/>
      <c r="S38" t="s">
        <v>24</v>
      </c>
      <c r="T38" s="113">
        <v>430732.82162045367</v>
      </c>
    </row>
    <row r="39" spans="1:27" ht="13.5" thickBot="1" x14ac:dyDescent="0.25">
      <c r="A39" s="3" t="str">
        <f t="shared" si="3"/>
        <v>20161</v>
      </c>
      <c r="B39" s="49">
        <f t="shared" si="4"/>
        <v>2016</v>
      </c>
      <c r="C39" s="52">
        <v>42400</v>
      </c>
      <c r="D39" s="53">
        <f>+Inputs!D39</f>
        <v>23561827.41</v>
      </c>
      <c r="E39" s="201">
        <v>703.65</v>
      </c>
      <c r="F39" s="201">
        <v>0</v>
      </c>
      <c r="G39" s="53">
        <f>+Inputs!G39</f>
        <v>31</v>
      </c>
      <c r="H39" s="105">
        <f t="shared" si="6"/>
        <v>0</v>
      </c>
      <c r="I39" s="53">
        <f>+Inputs!I39</f>
        <v>320</v>
      </c>
      <c r="J39" s="257">
        <v>0</v>
      </c>
      <c r="K39" s="257">
        <v>0</v>
      </c>
      <c r="L39" s="53">
        <f>+Inputs!J39</f>
        <v>0</v>
      </c>
      <c r="M39" s="53">
        <f>+Inputs!M39</f>
        <v>37</v>
      </c>
      <c r="N39" s="53">
        <f t="shared" si="5"/>
        <v>23274891.258885764</v>
      </c>
      <c r="O39" s="37">
        <f t="shared" si="0"/>
        <v>-286936.15111423656</v>
      </c>
      <c r="P39" s="45">
        <f t="shared" si="1"/>
        <v>-1.2178009206215324E-2</v>
      </c>
      <c r="Q39" s="12">
        <f t="shared" si="2"/>
        <v>1.2178009206215324E-2</v>
      </c>
      <c r="R39"/>
      <c r="S39" s="90" t="s">
        <v>25</v>
      </c>
      <c r="T39" s="90">
        <v>129</v>
      </c>
    </row>
    <row r="40" spans="1:27" x14ac:dyDescent="0.2">
      <c r="A40" s="3" t="str">
        <f t="shared" si="3"/>
        <v>20162</v>
      </c>
      <c r="B40" s="49">
        <f t="shared" si="4"/>
        <v>2016</v>
      </c>
      <c r="C40" s="52">
        <v>42429</v>
      </c>
      <c r="D40" s="53">
        <f>+Inputs!D40</f>
        <v>21655030.84</v>
      </c>
      <c r="E40" s="201">
        <v>630.40499999999997</v>
      </c>
      <c r="F40" s="201">
        <v>0</v>
      </c>
      <c r="G40" s="53">
        <f>+Inputs!G40</f>
        <v>29</v>
      </c>
      <c r="H40" s="105">
        <f t="shared" si="6"/>
        <v>0</v>
      </c>
      <c r="I40" s="53">
        <f>+Inputs!I40</f>
        <v>320</v>
      </c>
      <c r="J40" s="257">
        <v>0</v>
      </c>
      <c r="K40" s="257">
        <v>0</v>
      </c>
      <c r="L40" s="53">
        <f>+Inputs!J40</f>
        <v>0</v>
      </c>
      <c r="M40" s="53">
        <f>+Inputs!M40</f>
        <v>38</v>
      </c>
      <c r="N40" s="53">
        <f t="shared" si="5"/>
        <v>22023397.632713966</v>
      </c>
      <c r="O40" s="37">
        <f t="shared" si="0"/>
        <v>368366.79271396622</v>
      </c>
      <c r="P40" s="45">
        <f t="shared" si="1"/>
        <v>1.7010679663108076E-2</v>
      </c>
      <c r="Q40" s="12">
        <f t="shared" si="2"/>
        <v>1.7010679663108076E-2</v>
      </c>
      <c r="R40"/>
    </row>
    <row r="41" spans="1:27" x14ac:dyDescent="0.2">
      <c r="A41" s="3" t="str">
        <f t="shared" si="3"/>
        <v>20163</v>
      </c>
      <c r="B41" s="49">
        <f t="shared" si="4"/>
        <v>2016</v>
      </c>
      <c r="C41" s="52">
        <v>42460</v>
      </c>
      <c r="D41" s="53">
        <f>+Inputs!D41</f>
        <v>21636172.899999999</v>
      </c>
      <c r="E41" s="201">
        <v>547.82999999999993</v>
      </c>
      <c r="F41" s="201">
        <v>0</v>
      </c>
      <c r="G41" s="53">
        <f>+Inputs!G41</f>
        <v>31</v>
      </c>
      <c r="H41" s="105">
        <f t="shared" si="6"/>
        <v>0.33333333333333331</v>
      </c>
      <c r="I41" s="53">
        <f>+Inputs!I41</f>
        <v>352</v>
      </c>
      <c r="J41" s="257">
        <v>0</v>
      </c>
      <c r="K41" s="257">
        <v>0</v>
      </c>
      <c r="L41" s="53">
        <f>+Inputs!J41</f>
        <v>0</v>
      </c>
      <c r="M41" s="53">
        <f>+Inputs!M41</f>
        <v>39</v>
      </c>
      <c r="N41" s="53">
        <f t="shared" si="5"/>
        <v>22582115.058121163</v>
      </c>
      <c r="O41" s="37">
        <f t="shared" si="0"/>
        <v>945942.15812116489</v>
      </c>
      <c r="P41" s="45">
        <f t="shared" si="1"/>
        <v>4.372040113069927E-2</v>
      </c>
      <c r="Q41" s="12">
        <f t="shared" si="2"/>
        <v>4.372040113069927E-2</v>
      </c>
      <c r="R41"/>
      <c r="S41" t="s">
        <v>26</v>
      </c>
    </row>
    <row r="42" spans="1:27" x14ac:dyDescent="0.2">
      <c r="A42" s="3" t="str">
        <f t="shared" si="3"/>
        <v>20164</v>
      </c>
      <c r="B42" s="49">
        <f t="shared" si="4"/>
        <v>2016</v>
      </c>
      <c r="C42" s="52">
        <v>42490</v>
      </c>
      <c r="D42" s="53">
        <f>+Inputs!D42</f>
        <v>20336536.75</v>
      </c>
      <c r="E42" s="201">
        <v>338.72500000000002</v>
      </c>
      <c r="F42" s="201">
        <v>0.71000000000000008</v>
      </c>
      <c r="G42" s="53">
        <f>+Inputs!G42</f>
        <v>30</v>
      </c>
      <c r="H42" s="105">
        <f t="shared" si="6"/>
        <v>1</v>
      </c>
      <c r="I42" s="53">
        <f>+Inputs!I42</f>
        <v>336</v>
      </c>
      <c r="J42" s="257">
        <v>0</v>
      </c>
      <c r="K42" s="257">
        <v>0</v>
      </c>
      <c r="L42" s="53">
        <f>+Inputs!J42</f>
        <v>0</v>
      </c>
      <c r="M42" s="53">
        <f>+Inputs!M42</f>
        <v>40</v>
      </c>
      <c r="N42" s="53">
        <f t="shared" si="5"/>
        <v>20447983.186088189</v>
      </c>
      <c r="O42" s="37">
        <f t="shared" si="0"/>
        <v>111446.43608818948</v>
      </c>
      <c r="P42" s="45">
        <f t="shared" si="1"/>
        <v>5.480108902426048E-3</v>
      </c>
      <c r="Q42" s="12">
        <f t="shared" si="2"/>
        <v>5.480108902426048E-3</v>
      </c>
      <c r="R42"/>
      <c r="S42" s="76"/>
      <c r="T42" s="76" t="s">
        <v>30</v>
      </c>
      <c r="U42" s="76" t="s">
        <v>31</v>
      </c>
      <c r="V42" s="76" t="s">
        <v>32</v>
      </c>
      <c r="W42" s="76" t="s">
        <v>33</v>
      </c>
      <c r="X42" s="76" t="s">
        <v>34</v>
      </c>
    </row>
    <row r="43" spans="1:27" x14ac:dyDescent="0.2">
      <c r="A43" s="3" t="str">
        <f t="shared" si="3"/>
        <v>20165</v>
      </c>
      <c r="B43" s="49">
        <f t="shared" si="4"/>
        <v>2016</v>
      </c>
      <c r="C43" s="52">
        <v>42521</v>
      </c>
      <c r="D43" s="53">
        <f>+Inputs!D43</f>
        <v>20078198.850000001</v>
      </c>
      <c r="E43" s="201">
        <v>144.06</v>
      </c>
      <c r="F43" s="201">
        <v>23.914999999999999</v>
      </c>
      <c r="G43" s="53">
        <f>+Inputs!G43</f>
        <v>31</v>
      </c>
      <c r="H43" s="105">
        <f t="shared" si="6"/>
        <v>1</v>
      </c>
      <c r="I43" s="53">
        <f>+Inputs!I43</f>
        <v>336</v>
      </c>
      <c r="J43" s="257">
        <v>0</v>
      </c>
      <c r="K43" s="257">
        <v>0</v>
      </c>
      <c r="L43" s="53">
        <f>+Inputs!J43</f>
        <v>0</v>
      </c>
      <c r="M43" s="53">
        <f>+Inputs!M43</f>
        <v>41</v>
      </c>
      <c r="N43" s="53">
        <f t="shared" si="5"/>
        <v>20323709.431135535</v>
      </c>
      <c r="O43" s="37">
        <f t="shared" si="0"/>
        <v>245510.58113553375</v>
      </c>
      <c r="P43" s="45">
        <f t="shared" si="1"/>
        <v>1.2227719377106067E-2</v>
      </c>
      <c r="Q43" s="12">
        <f t="shared" si="2"/>
        <v>1.2227719377106067E-2</v>
      </c>
      <c r="R43"/>
      <c r="S43" t="s">
        <v>27</v>
      </c>
      <c r="T43">
        <v>7</v>
      </c>
      <c r="U43">
        <v>257254256510961.56</v>
      </c>
      <c r="V43">
        <v>36750608072994.508</v>
      </c>
      <c r="W43">
        <v>198.08363505712137</v>
      </c>
      <c r="X43">
        <v>3.9524965411125393E-63</v>
      </c>
    </row>
    <row r="44" spans="1:27" x14ac:dyDescent="0.2">
      <c r="A44" s="3" t="str">
        <f t="shared" si="3"/>
        <v>20166</v>
      </c>
      <c r="B44" s="49">
        <f t="shared" si="4"/>
        <v>2016</v>
      </c>
      <c r="C44" s="52">
        <v>42551</v>
      </c>
      <c r="D44" s="53">
        <f>+Inputs!D44</f>
        <v>20739146.41</v>
      </c>
      <c r="E44" s="201">
        <v>21.37</v>
      </c>
      <c r="F44" s="201">
        <v>69.710000000000008</v>
      </c>
      <c r="G44" s="53">
        <f>+Inputs!G44</f>
        <v>30</v>
      </c>
      <c r="H44" s="105">
        <f t="shared" si="6"/>
        <v>0.66666666666666663</v>
      </c>
      <c r="I44" s="53">
        <f>+Inputs!I44</f>
        <v>352</v>
      </c>
      <c r="J44" s="257">
        <v>0</v>
      </c>
      <c r="K44" s="257">
        <v>0</v>
      </c>
      <c r="L44" s="53">
        <f>+Inputs!J44</f>
        <v>0</v>
      </c>
      <c r="M44" s="53">
        <f>+Inputs!M44</f>
        <v>42</v>
      </c>
      <c r="N44" s="53">
        <f t="shared" si="5"/>
        <v>20680461.72633912</v>
      </c>
      <c r="O44" s="37">
        <f t="shared" si="0"/>
        <v>-58684.683660879731</v>
      </c>
      <c r="P44" s="45">
        <f t="shared" si="1"/>
        <v>-2.8296576194950414E-3</v>
      </c>
      <c r="Q44" s="12">
        <f t="shared" si="2"/>
        <v>2.8296576194950414E-3</v>
      </c>
      <c r="R44"/>
      <c r="S44" t="s">
        <v>28</v>
      </c>
      <c r="T44">
        <v>121</v>
      </c>
      <c r="U44">
        <v>22449222398155.227</v>
      </c>
      <c r="V44">
        <v>185530763621.11758</v>
      </c>
    </row>
    <row r="45" spans="1:27" ht="13.5" thickBot="1" x14ac:dyDescent="0.25">
      <c r="A45" s="3" t="str">
        <f t="shared" si="3"/>
        <v>20167</v>
      </c>
      <c r="B45" s="49">
        <f t="shared" si="4"/>
        <v>2016</v>
      </c>
      <c r="C45" s="52">
        <v>42582</v>
      </c>
      <c r="D45" s="53">
        <f>+Inputs!D45</f>
        <v>23027670.599999998</v>
      </c>
      <c r="E45" s="201">
        <v>1.24</v>
      </c>
      <c r="F45" s="201">
        <v>140.78500000000003</v>
      </c>
      <c r="G45" s="53">
        <f>+Inputs!G45</f>
        <v>31</v>
      </c>
      <c r="H45" s="105">
        <f t="shared" si="6"/>
        <v>0</v>
      </c>
      <c r="I45" s="53">
        <f>+Inputs!I45</f>
        <v>320</v>
      </c>
      <c r="J45" s="257">
        <v>0</v>
      </c>
      <c r="K45" s="257">
        <v>0</v>
      </c>
      <c r="L45" s="53">
        <f>+Inputs!J45</f>
        <v>0</v>
      </c>
      <c r="M45" s="53">
        <f>+Inputs!M45</f>
        <v>43</v>
      </c>
      <c r="N45" s="53">
        <f t="shared" si="5"/>
        <v>22728980.28339351</v>
      </c>
      <c r="O45" s="37">
        <f t="shared" si="0"/>
        <v>-298690.31660648808</v>
      </c>
      <c r="P45" s="45">
        <f t="shared" si="1"/>
        <v>-1.2970930572825204E-2</v>
      </c>
      <c r="Q45" s="12">
        <f t="shared" si="2"/>
        <v>1.2970930572825204E-2</v>
      </c>
      <c r="R45"/>
      <c r="S45" s="90" t="s">
        <v>11</v>
      </c>
      <c r="T45" s="90">
        <v>128</v>
      </c>
      <c r="U45" s="90">
        <v>279703478909116.78</v>
      </c>
      <c r="V45" s="90"/>
      <c r="W45" s="90"/>
      <c r="X45" s="90"/>
    </row>
    <row r="46" spans="1:27" x14ac:dyDescent="0.2">
      <c r="A46" s="3" t="str">
        <f t="shared" si="3"/>
        <v>20168</v>
      </c>
      <c r="B46" s="49">
        <f t="shared" si="4"/>
        <v>2016</v>
      </c>
      <c r="C46" s="52">
        <v>42613</v>
      </c>
      <c r="D46" s="53">
        <f>+Inputs!D46</f>
        <v>24179844.139999997</v>
      </c>
      <c r="E46" s="201">
        <v>3.5549999999999997</v>
      </c>
      <c r="F46" s="201">
        <v>122.37</v>
      </c>
      <c r="G46" s="53">
        <f>+Inputs!G46</f>
        <v>31</v>
      </c>
      <c r="H46" s="105">
        <f t="shared" si="6"/>
        <v>0</v>
      </c>
      <c r="I46" s="53">
        <f>+Inputs!I46</f>
        <v>368</v>
      </c>
      <c r="J46" s="257">
        <v>0</v>
      </c>
      <c r="K46" s="257">
        <v>0</v>
      </c>
      <c r="L46" s="53">
        <f>+Inputs!J46</f>
        <v>0</v>
      </c>
      <c r="M46" s="53">
        <f>+Inputs!M46</f>
        <v>44</v>
      </c>
      <c r="N46" s="53">
        <f t="shared" si="5"/>
        <v>22845032.741824836</v>
      </c>
      <c r="O46" s="37">
        <f t="shared" si="0"/>
        <v>-1334811.3981751613</v>
      </c>
      <c r="P46" s="45">
        <f t="shared" si="1"/>
        <v>-5.5203474035923274E-2</v>
      </c>
      <c r="Q46" s="12">
        <f t="shared" si="2"/>
        <v>5.5203474035923274E-2</v>
      </c>
      <c r="R46"/>
    </row>
    <row r="47" spans="1:27" ht="25.5" x14ac:dyDescent="0.2">
      <c r="A47" s="3" t="str">
        <f t="shared" si="3"/>
        <v>20169</v>
      </c>
      <c r="B47" s="49">
        <f t="shared" si="4"/>
        <v>2016</v>
      </c>
      <c r="C47" s="52">
        <v>42643</v>
      </c>
      <c r="D47" s="53">
        <f>+Inputs!D47</f>
        <v>20570015.609999999</v>
      </c>
      <c r="E47" s="201">
        <v>44.225000000000009</v>
      </c>
      <c r="F47" s="201">
        <v>50.904999999999987</v>
      </c>
      <c r="G47" s="53">
        <f>+Inputs!G47</f>
        <v>30</v>
      </c>
      <c r="H47" s="105">
        <f t="shared" si="6"/>
        <v>0.33333333333333331</v>
      </c>
      <c r="I47" s="53">
        <f>+Inputs!I47</f>
        <v>336</v>
      </c>
      <c r="J47" s="257">
        <v>0</v>
      </c>
      <c r="K47" s="257">
        <v>0</v>
      </c>
      <c r="L47" s="53">
        <f>+Inputs!J47</f>
        <v>0</v>
      </c>
      <c r="M47" s="53">
        <f>+Inputs!M47</f>
        <v>45</v>
      </c>
      <c r="N47" s="53">
        <f t="shared" si="5"/>
        <v>20396032.450547639</v>
      </c>
      <c r="O47" s="37">
        <f t="shared" si="0"/>
        <v>-173983.15945236012</v>
      </c>
      <c r="P47" s="45">
        <f t="shared" si="1"/>
        <v>-8.4580956451865384E-3</v>
      </c>
      <c r="Q47" s="12">
        <f t="shared" si="2"/>
        <v>8.4580956451865384E-3</v>
      </c>
      <c r="R47"/>
      <c r="S47" s="76"/>
      <c r="T47" s="76" t="s">
        <v>35</v>
      </c>
      <c r="U47" s="76" t="s">
        <v>24</v>
      </c>
      <c r="V47" s="76" t="s">
        <v>36</v>
      </c>
      <c r="W47" s="76" t="s">
        <v>37</v>
      </c>
      <c r="X47" s="76" t="s">
        <v>38</v>
      </c>
      <c r="Y47" s="76" t="s">
        <v>39</v>
      </c>
      <c r="Z47" s="76" t="s">
        <v>105</v>
      </c>
      <c r="AA47" s="76" t="s">
        <v>106</v>
      </c>
    </row>
    <row r="48" spans="1:27" x14ac:dyDescent="0.2">
      <c r="A48" s="3" t="str">
        <f t="shared" si="3"/>
        <v>201610</v>
      </c>
      <c r="B48" s="49">
        <f t="shared" si="4"/>
        <v>2016</v>
      </c>
      <c r="C48" s="52">
        <v>42674</v>
      </c>
      <c r="D48" s="53">
        <f>+Inputs!D48</f>
        <v>20577574.779999997</v>
      </c>
      <c r="E48" s="201">
        <v>222.22000000000003</v>
      </c>
      <c r="F48" s="201">
        <v>3.3</v>
      </c>
      <c r="G48" s="53">
        <f>+Inputs!G48</f>
        <v>31</v>
      </c>
      <c r="H48" s="105">
        <f t="shared" si="6"/>
        <v>1</v>
      </c>
      <c r="I48" s="53">
        <f>+Inputs!I48</f>
        <v>320</v>
      </c>
      <c r="J48" s="257">
        <v>0</v>
      </c>
      <c r="K48" s="257">
        <v>0</v>
      </c>
      <c r="L48" s="53">
        <f>+Inputs!J48</f>
        <v>0</v>
      </c>
      <c r="M48" s="53">
        <f>+Inputs!M48</f>
        <v>46</v>
      </c>
      <c r="N48" s="53">
        <f t="shared" si="5"/>
        <v>20163735.962702259</v>
      </c>
      <c r="O48" s="37">
        <f t="shared" si="0"/>
        <v>-413838.81729773805</v>
      </c>
      <c r="P48" s="45">
        <f t="shared" si="1"/>
        <v>-2.0111156038658221E-2</v>
      </c>
      <c r="Q48" s="12">
        <f t="shared" si="2"/>
        <v>2.0111156038658221E-2</v>
      </c>
      <c r="R48"/>
      <c r="S48" t="s">
        <v>29</v>
      </c>
      <c r="T48" s="113">
        <v>2047147.0081127379</v>
      </c>
      <c r="U48" s="113">
        <v>1446328.9748517803</v>
      </c>
      <c r="V48" s="113">
        <v>1.4154089724452414</v>
      </c>
      <c r="W48" s="113">
        <v>0.1595172915722288</v>
      </c>
      <c r="X48" s="113">
        <v>-816242.68496037927</v>
      </c>
      <c r="Y48" s="113">
        <v>4910536.7011858551</v>
      </c>
      <c r="Z48" s="113">
        <v>-816242.68496037927</v>
      </c>
      <c r="AA48" s="113">
        <v>4910536.7011858551</v>
      </c>
    </row>
    <row r="49" spans="1:27" x14ac:dyDescent="0.2">
      <c r="A49" s="3" t="str">
        <f t="shared" si="3"/>
        <v>201611</v>
      </c>
      <c r="B49" s="49">
        <f t="shared" si="4"/>
        <v>2016</v>
      </c>
      <c r="C49" s="52">
        <v>42704</v>
      </c>
      <c r="D49" s="53">
        <f>+Inputs!D49</f>
        <v>20734381.805</v>
      </c>
      <c r="E49" s="201">
        <v>420.84500000000008</v>
      </c>
      <c r="F49" s="201">
        <v>0.09</v>
      </c>
      <c r="G49" s="53">
        <f>+Inputs!G49</f>
        <v>30</v>
      </c>
      <c r="H49" s="105">
        <f t="shared" si="6"/>
        <v>1</v>
      </c>
      <c r="I49" s="53">
        <f>+Inputs!I49</f>
        <v>352</v>
      </c>
      <c r="J49" s="257">
        <v>0</v>
      </c>
      <c r="K49" s="257">
        <v>0</v>
      </c>
      <c r="L49" s="53">
        <f>+Inputs!J49</f>
        <v>0</v>
      </c>
      <c r="M49" s="53">
        <f>+Inputs!M49</f>
        <v>47</v>
      </c>
      <c r="N49" s="53">
        <f t="shared" si="5"/>
        <v>21183540.789792303</v>
      </c>
      <c r="O49" s="37">
        <f t="shared" si="0"/>
        <v>449158.98479230329</v>
      </c>
      <c r="P49" s="45">
        <f t="shared" si="1"/>
        <v>2.1662521169740913E-2</v>
      </c>
      <c r="Q49" s="12">
        <f t="shared" si="2"/>
        <v>2.1662521169740913E-2</v>
      </c>
      <c r="R49"/>
      <c r="S49" t="s">
        <v>4</v>
      </c>
      <c r="T49" s="113">
        <v>5812.3485800302078</v>
      </c>
      <c r="U49" s="113">
        <v>265.71519775024262</v>
      </c>
      <c r="V49" s="113">
        <v>21.874355058507</v>
      </c>
      <c r="W49" s="113">
        <v>7.2533282621251701E-44</v>
      </c>
      <c r="X49" s="113">
        <v>5286.2952603773247</v>
      </c>
      <c r="Y49" s="113">
        <v>6338.401899683091</v>
      </c>
      <c r="Z49" s="113">
        <v>5286.2952603773247</v>
      </c>
      <c r="AA49" s="113">
        <v>6338.401899683091</v>
      </c>
    </row>
    <row r="50" spans="1:27" x14ac:dyDescent="0.2">
      <c r="A50" s="3" t="str">
        <f t="shared" si="3"/>
        <v>201612</v>
      </c>
      <c r="B50" s="49">
        <f t="shared" si="4"/>
        <v>2016</v>
      </c>
      <c r="C50" s="52">
        <v>42735</v>
      </c>
      <c r="D50" s="53">
        <f>+Inputs!D50</f>
        <v>22113618.544999998</v>
      </c>
      <c r="E50" s="201">
        <v>579.06000000000006</v>
      </c>
      <c r="F50" s="201">
        <v>0</v>
      </c>
      <c r="G50" s="53">
        <f>+Inputs!G50</f>
        <v>31</v>
      </c>
      <c r="H50" s="105">
        <f t="shared" si="6"/>
        <v>0.66666666666666663</v>
      </c>
      <c r="I50" s="53">
        <f>+Inputs!I50</f>
        <v>320</v>
      </c>
      <c r="J50" s="257">
        <v>0</v>
      </c>
      <c r="K50" s="257">
        <v>0</v>
      </c>
      <c r="L50" s="53">
        <f>+Inputs!J50</f>
        <v>0</v>
      </c>
      <c r="M50" s="53">
        <f>+Inputs!M50</f>
        <v>48</v>
      </c>
      <c r="N50" s="53">
        <f t="shared" si="5"/>
        <v>22350855.830218129</v>
      </c>
      <c r="O50" s="37">
        <f t="shared" si="0"/>
        <v>237237.2852181308</v>
      </c>
      <c r="P50" s="45">
        <f t="shared" si="1"/>
        <v>1.0728107873225992E-2</v>
      </c>
      <c r="Q50" s="12">
        <f t="shared" si="2"/>
        <v>1.0728107873225992E-2</v>
      </c>
      <c r="R50"/>
      <c r="S50" t="s">
        <v>5</v>
      </c>
      <c r="T50" s="113">
        <v>24445.586018494676</v>
      </c>
      <c r="U50" s="113">
        <v>1489.1787584371727</v>
      </c>
      <c r="V50" s="113">
        <v>16.415481271133118</v>
      </c>
      <c r="W50" s="113">
        <v>1.4328848198885017E-32</v>
      </c>
      <c r="X50" s="113">
        <v>21497.363876648</v>
      </c>
      <c r="Y50" s="113">
        <v>27393.808160341352</v>
      </c>
      <c r="Z50" s="113">
        <v>21497.363876648</v>
      </c>
      <c r="AA50" s="113">
        <v>27393.808160341352</v>
      </c>
    </row>
    <row r="51" spans="1:27" x14ac:dyDescent="0.2">
      <c r="A51" s="3" t="str">
        <f t="shared" si="3"/>
        <v>20171</v>
      </c>
      <c r="B51" s="49">
        <f t="shared" si="4"/>
        <v>2017</v>
      </c>
      <c r="C51" s="52">
        <v>42766</v>
      </c>
      <c r="D51" s="53">
        <f>+Inputs!D51</f>
        <v>23287844.449999999</v>
      </c>
      <c r="E51" s="201">
        <v>703.65</v>
      </c>
      <c r="F51" s="201">
        <v>0</v>
      </c>
      <c r="G51" s="53">
        <f>+Inputs!G51</f>
        <v>31</v>
      </c>
      <c r="H51" s="105">
        <f t="shared" si="6"/>
        <v>0</v>
      </c>
      <c r="I51" s="53">
        <f>+Inputs!I51</f>
        <v>336</v>
      </c>
      <c r="J51" s="257">
        <v>0</v>
      </c>
      <c r="K51" s="257">
        <v>0</v>
      </c>
      <c r="L51" s="53">
        <f>+Inputs!J51</f>
        <v>0</v>
      </c>
      <c r="M51" s="53">
        <f>+Inputs!M51</f>
        <v>49</v>
      </c>
      <c r="N51" s="53">
        <f t="shared" si="5"/>
        <v>23620777.438360136</v>
      </c>
      <c r="O51" s="37">
        <f t="shared" si="0"/>
        <v>332932.98836013675</v>
      </c>
      <c r="P51" s="45">
        <f t="shared" si="1"/>
        <v>1.4296427867120039E-2</v>
      </c>
      <c r="Q51" s="12">
        <f t="shared" si="2"/>
        <v>1.4296427867120039E-2</v>
      </c>
      <c r="R51"/>
      <c r="S51" t="s">
        <v>6</v>
      </c>
      <c r="T51" s="113">
        <v>420568.0277416638</v>
      </c>
      <c r="U51" s="113">
        <v>54005.067660489563</v>
      </c>
      <c r="V51" s="113">
        <v>7.7875659815042493</v>
      </c>
      <c r="W51" s="113">
        <v>2.6085701075388535E-12</v>
      </c>
      <c r="X51" s="113">
        <v>313650.75179577508</v>
      </c>
      <c r="Y51" s="113">
        <v>527485.30368755246</v>
      </c>
      <c r="Z51" s="113">
        <v>313650.75179577508</v>
      </c>
      <c r="AA51" s="113">
        <v>527485.30368755246</v>
      </c>
    </row>
    <row r="52" spans="1:27" x14ac:dyDescent="0.2">
      <c r="A52" s="3" t="str">
        <f t="shared" si="3"/>
        <v>20172</v>
      </c>
      <c r="B52" s="49">
        <f t="shared" si="4"/>
        <v>2017</v>
      </c>
      <c r="C52" s="52">
        <v>42794</v>
      </c>
      <c r="D52" s="53">
        <f>+Inputs!D52</f>
        <v>20360287.07</v>
      </c>
      <c r="E52" s="201">
        <v>630.40499999999997</v>
      </c>
      <c r="F52" s="201">
        <v>0</v>
      </c>
      <c r="G52" s="53">
        <f>+Inputs!G52</f>
        <v>28</v>
      </c>
      <c r="H52" s="105">
        <f t="shared" si="6"/>
        <v>0</v>
      </c>
      <c r="I52" s="53">
        <f>+Inputs!I52</f>
        <v>304</v>
      </c>
      <c r="J52" s="257">
        <v>0</v>
      </c>
      <c r="K52" s="257">
        <v>0</v>
      </c>
      <c r="L52" s="53">
        <f>+Inputs!J52</f>
        <v>0</v>
      </c>
      <c r="M52" s="53">
        <f>+Inputs!M52</f>
        <v>50</v>
      </c>
      <c r="N52" s="53">
        <f t="shared" si="5"/>
        <v>21590034.572705504</v>
      </c>
      <c r="O52" s="37">
        <f t="shared" si="0"/>
        <v>1229747.5027055033</v>
      </c>
      <c r="P52" s="45">
        <f t="shared" si="1"/>
        <v>6.0399320425962112E-2</v>
      </c>
      <c r="Q52" s="12">
        <f t="shared" si="2"/>
        <v>6.0399320425962112E-2</v>
      </c>
      <c r="R52"/>
      <c r="S52" t="s">
        <v>18</v>
      </c>
      <c r="T52" s="113">
        <v>-526294.38178580569</v>
      </c>
      <c r="U52" s="113">
        <v>130284.16228637649</v>
      </c>
      <c r="V52" s="113">
        <v>-4.0395883317648584</v>
      </c>
      <c r="W52" s="113">
        <v>9.4408620402983024E-5</v>
      </c>
      <c r="X52" s="113">
        <v>-784226.2451087446</v>
      </c>
      <c r="Y52" s="113">
        <v>-268362.51846286678</v>
      </c>
      <c r="Z52" s="113">
        <v>-784226.2451087446</v>
      </c>
      <c r="AA52" s="113">
        <v>-268362.51846286678</v>
      </c>
    </row>
    <row r="53" spans="1:27" x14ac:dyDescent="0.2">
      <c r="A53" s="3" t="str">
        <f t="shared" si="3"/>
        <v>20173</v>
      </c>
      <c r="B53" s="49">
        <f t="shared" si="4"/>
        <v>2017</v>
      </c>
      <c r="C53" s="52">
        <v>42825</v>
      </c>
      <c r="D53" s="53">
        <f>+Inputs!D53</f>
        <v>22567613.300000001</v>
      </c>
      <c r="E53" s="201">
        <v>547.82999999999993</v>
      </c>
      <c r="F53" s="201">
        <v>0</v>
      </c>
      <c r="G53" s="53">
        <f>+Inputs!G53</f>
        <v>31</v>
      </c>
      <c r="H53" s="105">
        <f t="shared" si="6"/>
        <v>0.33333333333333331</v>
      </c>
      <c r="I53" s="53">
        <f>+Inputs!I53</f>
        <v>368</v>
      </c>
      <c r="J53" s="257">
        <v>0</v>
      </c>
      <c r="K53" s="257">
        <v>0</v>
      </c>
      <c r="L53" s="53">
        <f>+Inputs!J53</f>
        <v>0</v>
      </c>
      <c r="M53" s="53">
        <f>+Inputs!M53</f>
        <v>51</v>
      </c>
      <c r="N53" s="53">
        <f t="shared" si="5"/>
        <v>22928001.237595532</v>
      </c>
      <c r="O53" s="37">
        <f t="shared" si="0"/>
        <v>360387.93759553134</v>
      </c>
      <c r="P53" s="45">
        <f t="shared" si="1"/>
        <v>1.5969253496360261E-2</v>
      </c>
      <c r="Q53" s="12">
        <f t="shared" si="2"/>
        <v>1.5969253496360261E-2</v>
      </c>
      <c r="R53"/>
      <c r="S53" t="s">
        <v>7</v>
      </c>
      <c r="T53" s="113">
        <v>11081.37417902288</v>
      </c>
      <c r="U53" s="113">
        <v>2510.8297716363045</v>
      </c>
      <c r="V53" s="113">
        <v>4.4134310912687491</v>
      </c>
      <c r="W53" s="113">
        <v>2.2238654028005791E-5</v>
      </c>
      <c r="X53" s="113">
        <v>6110.5243833176519</v>
      </c>
      <c r="Y53" s="113">
        <v>16052.223974728107</v>
      </c>
      <c r="Z53" s="113">
        <v>6110.5243833176519</v>
      </c>
      <c r="AA53" s="113">
        <v>16052.223974728107</v>
      </c>
    </row>
    <row r="54" spans="1:27" x14ac:dyDescent="0.2">
      <c r="A54" s="3" t="str">
        <f t="shared" si="3"/>
        <v>20174</v>
      </c>
      <c r="B54" s="49">
        <f t="shared" si="4"/>
        <v>2017</v>
      </c>
      <c r="C54" s="52">
        <v>42855</v>
      </c>
      <c r="D54" s="53">
        <f>+Inputs!D54</f>
        <v>19386237.350000001</v>
      </c>
      <c r="E54" s="201">
        <v>338.72500000000002</v>
      </c>
      <c r="F54" s="201">
        <v>0.71000000000000008</v>
      </c>
      <c r="G54" s="53">
        <f>+Inputs!G54</f>
        <v>30</v>
      </c>
      <c r="H54" s="105">
        <f t="shared" si="6"/>
        <v>1</v>
      </c>
      <c r="I54" s="53">
        <f>+Inputs!I54</f>
        <v>304</v>
      </c>
      <c r="J54" s="257">
        <v>0</v>
      </c>
      <c r="K54" s="257">
        <v>0</v>
      </c>
      <c r="L54" s="53">
        <f>+Inputs!J54</f>
        <v>0</v>
      </c>
      <c r="M54" s="53">
        <f>+Inputs!M54</f>
        <v>52</v>
      </c>
      <c r="N54" s="53">
        <f t="shared" si="5"/>
        <v>20256771.63887763</v>
      </c>
      <c r="O54" s="37">
        <f t="shared" si="0"/>
        <v>870534.28887762874</v>
      </c>
      <c r="P54" s="45">
        <f t="shared" si="1"/>
        <v>4.490475759483202E-2</v>
      </c>
      <c r="Q54" s="12">
        <f t="shared" si="2"/>
        <v>4.490475759483202E-2</v>
      </c>
      <c r="R54"/>
      <c r="S54" t="s">
        <v>145</v>
      </c>
      <c r="T54" s="113">
        <v>-2321458.3690313813</v>
      </c>
      <c r="U54" s="113">
        <v>436829.35023958178</v>
      </c>
      <c r="V54" s="113">
        <v>-5.3143369779483978</v>
      </c>
      <c r="W54" s="113">
        <v>4.9569089018253281E-7</v>
      </c>
      <c r="X54" s="113">
        <v>-3186277.2870344785</v>
      </c>
      <c r="Y54" s="113">
        <v>-1456639.4510282842</v>
      </c>
      <c r="Z54" s="113">
        <v>-3186277.2870344785</v>
      </c>
      <c r="AA54" s="113">
        <v>-1456639.4510282842</v>
      </c>
    </row>
    <row r="55" spans="1:27" ht="13.5" thickBot="1" x14ac:dyDescent="0.25">
      <c r="A55" s="3" t="str">
        <f t="shared" si="3"/>
        <v>20175</v>
      </c>
      <c r="B55" s="49">
        <f t="shared" si="4"/>
        <v>2017</v>
      </c>
      <c r="C55" s="52">
        <v>42886</v>
      </c>
      <c r="D55" s="53">
        <f>+Inputs!D55</f>
        <v>19855233.969999999</v>
      </c>
      <c r="E55" s="201">
        <v>144.06</v>
      </c>
      <c r="F55" s="201">
        <v>23.914999999999999</v>
      </c>
      <c r="G55" s="53">
        <f>+Inputs!G55</f>
        <v>31</v>
      </c>
      <c r="H55" s="105">
        <f t="shared" si="6"/>
        <v>1</v>
      </c>
      <c r="I55" s="53">
        <f>+Inputs!I55</f>
        <v>352</v>
      </c>
      <c r="J55" s="257">
        <v>0</v>
      </c>
      <c r="K55" s="257">
        <v>0</v>
      </c>
      <c r="L55" s="53">
        <f>+Inputs!J55</f>
        <v>0</v>
      </c>
      <c r="M55" s="53">
        <f>+Inputs!M55</f>
        <v>53</v>
      </c>
      <c r="N55" s="53">
        <f t="shared" si="5"/>
        <v>20669595.610609908</v>
      </c>
      <c r="O55" s="37">
        <f t="shared" si="0"/>
        <v>814361.64060990885</v>
      </c>
      <c r="P55" s="45">
        <f t="shared" si="1"/>
        <v>4.1014960681921842E-2</v>
      </c>
      <c r="Q55" s="12">
        <f t="shared" si="2"/>
        <v>4.1014960681921842E-2</v>
      </c>
      <c r="R55"/>
      <c r="S55" s="90" t="s">
        <v>70</v>
      </c>
      <c r="T55" s="114">
        <v>15134.453019975965</v>
      </c>
      <c r="U55" s="114">
        <v>1025.1797641226826</v>
      </c>
      <c r="V55" s="114">
        <v>14.76273093717136</v>
      </c>
      <c r="W55" s="114">
        <v>7.75936470914612E-29</v>
      </c>
      <c r="X55" s="114">
        <v>13104.839272912059</v>
      </c>
      <c r="Y55" s="114">
        <v>17164.066767039869</v>
      </c>
      <c r="Z55" s="114">
        <v>13104.839272912059</v>
      </c>
      <c r="AA55" s="114">
        <v>17164.066767039869</v>
      </c>
    </row>
    <row r="56" spans="1:27" x14ac:dyDescent="0.2">
      <c r="A56" s="3" t="str">
        <f t="shared" si="3"/>
        <v>20176</v>
      </c>
      <c r="B56" s="49">
        <f t="shared" si="4"/>
        <v>2017</v>
      </c>
      <c r="C56" s="52">
        <v>42916</v>
      </c>
      <c r="D56" s="53">
        <f>+Inputs!D56</f>
        <v>20499489.770000003</v>
      </c>
      <c r="E56" s="201">
        <v>21.37</v>
      </c>
      <c r="F56" s="201">
        <v>69.710000000000008</v>
      </c>
      <c r="G56" s="53">
        <f>+Inputs!G56</f>
        <v>30</v>
      </c>
      <c r="H56" s="105">
        <f t="shared" si="6"/>
        <v>0.66666666666666663</v>
      </c>
      <c r="I56" s="53">
        <f>+Inputs!I56</f>
        <v>352</v>
      </c>
      <c r="J56" s="257">
        <v>0</v>
      </c>
      <c r="K56" s="257">
        <v>0</v>
      </c>
      <c r="L56" s="53">
        <f>+Inputs!J56</f>
        <v>0</v>
      </c>
      <c r="M56" s="53">
        <f>+Inputs!M56</f>
        <v>54</v>
      </c>
      <c r="N56" s="53">
        <f t="shared" si="5"/>
        <v>20847315.330251846</v>
      </c>
      <c r="O56" s="37">
        <f t="shared" si="0"/>
        <v>347825.56025184318</v>
      </c>
      <c r="P56" s="45">
        <f t="shared" si="1"/>
        <v>1.6967522809317372E-2</v>
      </c>
      <c r="Q56" s="12">
        <f t="shared" si="2"/>
        <v>1.6967522809317372E-2</v>
      </c>
      <c r="R56"/>
    </row>
    <row r="57" spans="1:27" x14ac:dyDescent="0.2">
      <c r="A57" s="3" t="str">
        <f t="shared" si="3"/>
        <v>20177</v>
      </c>
      <c r="B57" s="49">
        <f t="shared" si="4"/>
        <v>2017</v>
      </c>
      <c r="C57" s="52">
        <v>42947</v>
      </c>
      <c r="D57" s="53">
        <f>+Inputs!D57</f>
        <v>21882661.009999998</v>
      </c>
      <c r="E57" s="201">
        <v>1.24</v>
      </c>
      <c r="F57" s="201">
        <v>140.78500000000003</v>
      </c>
      <c r="G57" s="53">
        <f>+Inputs!G57</f>
        <v>31</v>
      </c>
      <c r="H57" s="105">
        <f t="shared" si="6"/>
        <v>0</v>
      </c>
      <c r="I57" s="53">
        <f>+Inputs!I57</f>
        <v>320</v>
      </c>
      <c r="J57" s="257">
        <v>0</v>
      </c>
      <c r="K57" s="257">
        <v>0</v>
      </c>
      <c r="L57" s="53">
        <f>+Inputs!J57</f>
        <v>0</v>
      </c>
      <c r="M57" s="53">
        <f>+Inputs!M57</f>
        <v>55</v>
      </c>
      <c r="N57" s="53">
        <f t="shared" si="5"/>
        <v>22895833.887306239</v>
      </c>
      <c r="O57" s="37">
        <f t="shared" si="0"/>
        <v>1013172.8773062415</v>
      </c>
      <c r="P57" s="45">
        <f t="shared" si="1"/>
        <v>4.6300259225477147E-2</v>
      </c>
      <c r="Q57" s="12">
        <f t="shared" si="2"/>
        <v>4.6300259225477147E-2</v>
      </c>
      <c r="R57"/>
    </row>
    <row r="58" spans="1:27" x14ac:dyDescent="0.2">
      <c r="A58" s="3" t="str">
        <f t="shared" si="3"/>
        <v>20178</v>
      </c>
      <c r="B58" s="49">
        <f t="shared" si="4"/>
        <v>2017</v>
      </c>
      <c r="C58" s="52">
        <v>42978</v>
      </c>
      <c r="D58" s="53">
        <f>+Inputs!D58</f>
        <v>21310062.84</v>
      </c>
      <c r="E58" s="201">
        <v>3.5549999999999997</v>
      </c>
      <c r="F58" s="201">
        <v>122.37</v>
      </c>
      <c r="G58" s="53">
        <f>+Inputs!G58</f>
        <v>31</v>
      </c>
      <c r="H58" s="105">
        <f t="shared" si="6"/>
        <v>0</v>
      </c>
      <c r="I58" s="53">
        <f>+Inputs!I58</f>
        <v>368</v>
      </c>
      <c r="J58" s="257">
        <v>0</v>
      </c>
      <c r="K58" s="257">
        <v>0</v>
      </c>
      <c r="L58" s="53">
        <f>+Inputs!J58</f>
        <v>0</v>
      </c>
      <c r="M58" s="53">
        <f>+Inputs!M58</f>
        <v>56</v>
      </c>
      <c r="N58" s="53">
        <f t="shared" si="5"/>
        <v>23011886.345737565</v>
      </c>
      <c r="O58" s="37">
        <f t="shared" si="0"/>
        <v>1701823.5057375655</v>
      </c>
      <c r="P58" s="45">
        <f t="shared" si="1"/>
        <v>7.9860088565443452E-2</v>
      </c>
      <c r="Q58" s="12">
        <f t="shared" si="2"/>
        <v>7.9860088565443452E-2</v>
      </c>
      <c r="R58"/>
    </row>
    <row r="59" spans="1:27" x14ac:dyDescent="0.2">
      <c r="A59" s="3" t="str">
        <f t="shared" si="3"/>
        <v>20179</v>
      </c>
      <c r="B59" s="49">
        <f t="shared" si="4"/>
        <v>2017</v>
      </c>
      <c r="C59" s="52">
        <v>43008</v>
      </c>
      <c r="D59" s="53">
        <f>+Inputs!D59</f>
        <v>20719473.609999999</v>
      </c>
      <c r="E59" s="201">
        <v>44.225000000000009</v>
      </c>
      <c r="F59" s="201">
        <v>50.904999999999987</v>
      </c>
      <c r="G59" s="53">
        <f>+Inputs!G59</f>
        <v>30</v>
      </c>
      <c r="H59" s="105">
        <f t="shared" si="6"/>
        <v>0.33333333333333331</v>
      </c>
      <c r="I59" s="53">
        <f>+Inputs!I59</f>
        <v>320</v>
      </c>
      <c r="J59" s="257">
        <v>0</v>
      </c>
      <c r="K59" s="257">
        <v>0</v>
      </c>
      <c r="L59" s="53">
        <f>+Inputs!J59</f>
        <v>0</v>
      </c>
      <c r="M59" s="53">
        <f>+Inputs!M59</f>
        <v>57</v>
      </c>
      <c r="N59" s="53">
        <f t="shared" si="5"/>
        <v>20383853.478898719</v>
      </c>
      <c r="O59" s="37">
        <f t="shared" si="0"/>
        <v>-335620.13110128045</v>
      </c>
      <c r="P59" s="45">
        <f t="shared" si="1"/>
        <v>-1.6198294291573968E-2</v>
      </c>
      <c r="Q59" s="12">
        <f t="shared" si="2"/>
        <v>1.6198294291573968E-2</v>
      </c>
      <c r="R59"/>
      <c r="S59" s="47" t="s">
        <v>276</v>
      </c>
    </row>
    <row r="60" spans="1:27" x14ac:dyDescent="0.2">
      <c r="A60" s="3" t="str">
        <f t="shared" si="3"/>
        <v>201710</v>
      </c>
      <c r="B60" s="49">
        <f t="shared" si="4"/>
        <v>2017</v>
      </c>
      <c r="C60" s="52">
        <v>43039</v>
      </c>
      <c r="D60" s="53">
        <f>+Inputs!D60</f>
        <v>20243543.530000001</v>
      </c>
      <c r="E60" s="201">
        <v>222.22000000000003</v>
      </c>
      <c r="F60" s="201">
        <v>3.3</v>
      </c>
      <c r="G60" s="53">
        <f>+Inputs!G60</f>
        <v>31</v>
      </c>
      <c r="H60" s="105">
        <f t="shared" si="6"/>
        <v>1</v>
      </c>
      <c r="I60" s="53">
        <f>+Inputs!I60</f>
        <v>336</v>
      </c>
      <c r="J60" s="257">
        <v>0</v>
      </c>
      <c r="K60" s="257">
        <v>0</v>
      </c>
      <c r="L60" s="53">
        <f>+Inputs!J60</f>
        <v>0</v>
      </c>
      <c r="M60" s="53">
        <f>+Inputs!M60</f>
        <v>58</v>
      </c>
      <c r="N60" s="53">
        <f t="shared" si="5"/>
        <v>20509622.142176632</v>
      </c>
      <c r="O60" s="37">
        <f t="shared" si="0"/>
        <v>266078.61217663065</v>
      </c>
      <c r="P60" s="45">
        <f t="shared" si="1"/>
        <v>1.3143875319175932E-2</v>
      </c>
      <c r="Q60" s="12">
        <f t="shared" si="2"/>
        <v>1.3143875319175932E-2</v>
      </c>
      <c r="R60"/>
      <c r="S60" t="s">
        <v>19</v>
      </c>
    </row>
    <row r="61" spans="1:27" ht="13.5" thickBot="1" x14ac:dyDescent="0.25">
      <c r="A61" s="3" t="str">
        <f t="shared" si="3"/>
        <v>201711</v>
      </c>
      <c r="B61" s="49">
        <f t="shared" si="4"/>
        <v>2017</v>
      </c>
      <c r="C61" s="52">
        <v>43069</v>
      </c>
      <c r="D61" s="53">
        <f>+Inputs!D61</f>
        <v>21468651.379999999</v>
      </c>
      <c r="E61" s="201">
        <v>420.84500000000008</v>
      </c>
      <c r="F61" s="201">
        <v>0.09</v>
      </c>
      <c r="G61" s="53">
        <f>+Inputs!G61</f>
        <v>30</v>
      </c>
      <c r="H61" s="105">
        <f t="shared" si="6"/>
        <v>1</v>
      </c>
      <c r="I61" s="53">
        <f>+Inputs!I61</f>
        <v>352</v>
      </c>
      <c r="J61" s="257">
        <v>0</v>
      </c>
      <c r="K61" s="257">
        <v>0</v>
      </c>
      <c r="L61" s="53">
        <f>+Inputs!J61</f>
        <v>0</v>
      </c>
      <c r="M61" s="53">
        <f>+Inputs!M61</f>
        <v>59</v>
      </c>
      <c r="N61" s="53">
        <f t="shared" si="5"/>
        <v>21350394.393705033</v>
      </c>
      <c r="O61" s="37">
        <f t="shared" si="0"/>
        <v>-118256.98629496619</v>
      </c>
      <c r="P61" s="45">
        <f t="shared" si="1"/>
        <v>-5.5083565428396368E-3</v>
      </c>
      <c r="Q61" s="12">
        <f t="shared" si="2"/>
        <v>5.5083565428396368E-3</v>
      </c>
      <c r="R61"/>
    </row>
    <row r="62" spans="1:27" x14ac:dyDescent="0.2">
      <c r="A62" s="3" t="str">
        <f t="shared" si="3"/>
        <v>201712</v>
      </c>
      <c r="B62" s="49">
        <f t="shared" si="4"/>
        <v>2017</v>
      </c>
      <c r="C62" s="52">
        <v>43100</v>
      </c>
      <c r="D62" s="53">
        <f>+Inputs!D62</f>
        <v>22467268.620000001</v>
      </c>
      <c r="E62" s="201">
        <v>579.06000000000006</v>
      </c>
      <c r="F62" s="201">
        <v>0</v>
      </c>
      <c r="G62" s="53">
        <f>+Inputs!G62</f>
        <v>31</v>
      </c>
      <c r="H62" s="105">
        <f t="shared" si="6"/>
        <v>0.66666666666666663</v>
      </c>
      <c r="I62" s="53">
        <f>+Inputs!I62</f>
        <v>304</v>
      </c>
      <c r="J62" s="257">
        <v>0</v>
      </c>
      <c r="K62" s="257">
        <v>0</v>
      </c>
      <c r="L62" s="53">
        <f>+Inputs!J62</f>
        <v>0</v>
      </c>
      <c r="M62" s="53">
        <f>+Inputs!M62</f>
        <v>60</v>
      </c>
      <c r="N62" s="53">
        <f t="shared" si="5"/>
        <v>22338676.858569216</v>
      </c>
      <c r="O62" s="37">
        <f t="shared" si="0"/>
        <v>-128591.76143078506</v>
      </c>
      <c r="P62" s="45">
        <f t="shared" si="1"/>
        <v>-5.7235155552604533E-3</v>
      </c>
      <c r="Q62" s="12">
        <f t="shared" si="2"/>
        <v>5.7235155552604533E-3</v>
      </c>
      <c r="R62"/>
      <c r="S62" s="92" t="s">
        <v>20</v>
      </c>
      <c r="T62" s="92"/>
    </row>
    <row r="63" spans="1:27" x14ac:dyDescent="0.2">
      <c r="A63" s="3" t="str">
        <f t="shared" si="3"/>
        <v>20181</v>
      </c>
      <c r="B63" s="49">
        <f t="shared" si="4"/>
        <v>2018</v>
      </c>
      <c r="C63" s="52">
        <v>43131</v>
      </c>
      <c r="D63" s="53">
        <f>+Inputs!D63</f>
        <v>24028241.710000001</v>
      </c>
      <c r="E63" s="201">
        <v>703.65</v>
      </c>
      <c r="F63" s="201">
        <v>0</v>
      </c>
      <c r="G63" s="53">
        <f>+Inputs!G63</f>
        <v>31</v>
      </c>
      <c r="H63" s="105">
        <f t="shared" si="6"/>
        <v>0</v>
      </c>
      <c r="I63" s="53">
        <f>+Inputs!I63</f>
        <v>352</v>
      </c>
      <c r="J63" s="257">
        <v>0</v>
      </c>
      <c r="K63" s="257">
        <v>0</v>
      </c>
      <c r="L63" s="53">
        <f>+Inputs!J63</f>
        <v>0</v>
      </c>
      <c r="M63" s="53">
        <f>+Inputs!M63</f>
        <v>61</v>
      </c>
      <c r="N63" s="53">
        <f t="shared" si="5"/>
        <v>23966663.617834508</v>
      </c>
      <c r="O63" s="37">
        <f t="shared" si="0"/>
        <v>-61578.092165492475</v>
      </c>
      <c r="P63" s="45">
        <f t="shared" si="1"/>
        <v>-2.5627381690548371E-3</v>
      </c>
      <c r="Q63" s="12">
        <f t="shared" si="2"/>
        <v>2.5627381690548371E-3</v>
      </c>
      <c r="R63"/>
      <c r="S63" t="s">
        <v>21</v>
      </c>
      <c r="T63" s="112">
        <v>0.96027576185823249</v>
      </c>
    </row>
    <row r="64" spans="1:27" x14ac:dyDescent="0.2">
      <c r="A64" s="3" t="str">
        <f t="shared" si="3"/>
        <v>20182</v>
      </c>
      <c r="B64" s="49">
        <f t="shared" si="4"/>
        <v>2018</v>
      </c>
      <c r="C64" s="52">
        <v>43159</v>
      </c>
      <c r="D64" s="53">
        <f>+Inputs!D64</f>
        <v>20985005.432913534</v>
      </c>
      <c r="E64" s="201">
        <v>630.40499999999997</v>
      </c>
      <c r="F64" s="201">
        <v>0</v>
      </c>
      <c r="G64" s="53">
        <f>+Inputs!G64</f>
        <v>28</v>
      </c>
      <c r="H64" s="105">
        <f t="shared" si="6"/>
        <v>0</v>
      </c>
      <c r="I64" s="53">
        <f>+Inputs!I64</f>
        <v>304</v>
      </c>
      <c r="J64" s="257">
        <v>0</v>
      </c>
      <c r="K64" s="257">
        <v>0</v>
      </c>
      <c r="L64" s="53">
        <f>+Inputs!J64</f>
        <v>0</v>
      </c>
      <c r="M64" s="53">
        <f>+Inputs!M64</f>
        <v>62</v>
      </c>
      <c r="N64" s="53">
        <f t="shared" si="5"/>
        <v>21756888.176618233</v>
      </c>
      <c r="O64" s="37">
        <f t="shared" si="0"/>
        <v>771882.74370469898</v>
      </c>
      <c r="P64" s="45">
        <f t="shared" si="1"/>
        <v>3.6782584887686237E-2</v>
      </c>
      <c r="Q64" s="12">
        <f t="shared" si="2"/>
        <v>3.6782584887686237E-2</v>
      </c>
      <c r="R64"/>
      <c r="S64" t="s">
        <v>22</v>
      </c>
      <c r="T64" s="112">
        <v>0.92212953881240878</v>
      </c>
    </row>
    <row r="65" spans="1:27" x14ac:dyDescent="0.2">
      <c r="A65" s="3" t="str">
        <f t="shared" si="3"/>
        <v>20183</v>
      </c>
      <c r="B65" s="49">
        <f t="shared" si="4"/>
        <v>2018</v>
      </c>
      <c r="C65" s="52">
        <v>43190</v>
      </c>
      <c r="D65" s="53">
        <f>+Inputs!D65</f>
        <v>22598880.590000004</v>
      </c>
      <c r="E65" s="201">
        <v>547.82999999999993</v>
      </c>
      <c r="F65" s="201">
        <v>0</v>
      </c>
      <c r="G65" s="53">
        <f>+Inputs!G65</f>
        <v>31</v>
      </c>
      <c r="H65" s="105">
        <f t="shared" si="6"/>
        <v>0.33333333333333331</v>
      </c>
      <c r="I65" s="53">
        <f>+Inputs!I65</f>
        <v>336</v>
      </c>
      <c r="J65" s="257">
        <v>0</v>
      </c>
      <c r="K65" s="257">
        <v>0</v>
      </c>
      <c r="L65" s="53">
        <f>+Inputs!J65</f>
        <v>0</v>
      </c>
      <c r="M65" s="53">
        <f>+Inputs!M65</f>
        <v>63</v>
      </c>
      <c r="N65" s="53">
        <f t="shared" si="5"/>
        <v>22736789.690384973</v>
      </c>
      <c r="O65" s="37">
        <f t="shared" si="0"/>
        <v>137909.10038496926</v>
      </c>
      <c r="P65" s="45">
        <f t="shared" si="1"/>
        <v>6.1024748476255939E-3</v>
      </c>
      <c r="Q65" s="12">
        <f t="shared" si="2"/>
        <v>6.1024748476255939E-3</v>
      </c>
      <c r="S65" t="s">
        <v>23</v>
      </c>
      <c r="T65" s="112">
        <v>0.91726263498818439</v>
      </c>
    </row>
    <row r="66" spans="1:27" x14ac:dyDescent="0.2">
      <c r="A66" s="3" t="str">
        <f t="shared" si="3"/>
        <v>20184</v>
      </c>
      <c r="B66" s="49">
        <f t="shared" si="4"/>
        <v>2018</v>
      </c>
      <c r="C66" s="52">
        <v>43220</v>
      </c>
      <c r="D66" s="53">
        <f>+Inputs!D66</f>
        <v>21216588.68</v>
      </c>
      <c r="E66" s="201">
        <v>338.72500000000002</v>
      </c>
      <c r="F66" s="201">
        <v>0.71000000000000008</v>
      </c>
      <c r="G66" s="53">
        <f>+Inputs!G66</f>
        <v>30</v>
      </c>
      <c r="H66" s="105">
        <f t="shared" si="6"/>
        <v>1</v>
      </c>
      <c r="I66" s="53">
        <f>+Inputs!I66</f>
        <v>336</v>
      </c>
      <c r="J66" s="257">
        <v>0</v>
      </c>
      <c r="K66" s="257">
        <v>0</v>
      </c>
      <c r="L66" s="53">
        <f>+Inputs!J66</f>
        <v>0</v>
      </c>
      <c r="M66" s="53">
        <f>+Inputs!M66</f>
        <v>64</v>
      </c>
      <c r="N66" s="53">
        <f t="shared" si="5"/>
        <v>20781690.393913645</v>
      </c>
      <c r="O66" s="37">
        <f t="shared" si="0"/>
        <v>-434898.2860863544</v>
      </c>
      <c r="P66" s="45">
        <f t="shared" si="1"/>
        <v>-2.0498030698795373E-2</v>
      </c>
      <c r="Q66" s="12">
        <f t="shared" si="2"/>
        <v>2.0498030698795373E-2</v>
      </c>
      <c r="S66" t="s">
        <v>24</v>
      </c>
      <c r="T66" s="113">
        <v>423990.96531623346</v>
      </c>
    </row>
    <row r="67" spans="1:27" ht="13.5" thickBot="1" x14ac:dyDescent="0.25">
      <c r="A67" s="3" t="str">
        <f t="shared" si="3"/>
        <v>20185</v>
      </c>
      <c r="B67" s="49">
        <f t="shared" si="4"/>
        <v>2018</v>
      </c>
      <c r="C67" s="52">
        <v>43251</v>
      </c>
      <c r="D67" s="53">
        <f>+Inputs!D67</f>
        <v>21095556.57</v>
      </c>
      <c r="E67" s="201">
        <v>144.06</v>
      </c>
      <c r="F67" s="201">
        <v>23.914999999999999</v>
      </c>
      <c r="G67" s="53">
        <f>+Inputs!G67</f>
        <v>31</v>
      </c>
      <c r="H67" s="105">
        <f t="shared" si="6"/>
        <v>1</v>
      </c>
      <c r="I67" s="53">
        <f>+Inputs!I67</f>
        <v>352</v>
      </c>
      <c r="J67" s="257">
        <v>0</v>
      </c>
      <c r="K67" s="257">
        <v>0</v>
      </c>
      <c r="L67" s="53">
        <f>+Inputs!J67</f>
        <v>0</v>
      </c>
      <c r="M67" s="53">
        <f>+Inputs!M67</f>
        <v>65</v>
      </c>
      <c r="N67" s="53">
        <f t="shared" si="5"/>
        <v>20836449.214522634</v>
      </c>
      <c r="O67" s="37">
        <f t="shared" ref="O67:O122" si="7">N67-D67</f>
        <v>-259107.3554773666</v>
      </c>
      <c r="P67" s="45">
        <f t="shared" ref="P67:P122" si="8">O67/D67</f>
        <v>-1.2282556026317091E-2</v>
      </c>
      <c r="Q67" s="12">
        <f t="shared" ref="Q67:Q122" si="9">ABS(P67)</f>
        <v>1.2282556026317091E-2</v>
      </c>
      <c r="S67" s="90" t="s">
        <v>25</v>
      </c>
      <c r="T67" s="90">
        <v>120</v>
      </c>
    </row>
    <row r="68" spans="1:27" x14ac:dyDescent="0.2">
      <c r="A68" s="3" t="str">
        <f t="shared" ref="A68:A131" si="10">YEAR(C68)&amp;MONTH(C68)</f>
        <v>20186</v>
      </c>
      <c r="B68" s="49">
        <f t="shared" ref="B68:B131" si="11">YEAR(C68)</f>
        <v>2018</v>
      </c>
      <c r="C68" s="52">
        <v>43281</v>
      </c>
      <c r="D68" s="53">
        <f>+Inputs!D68</f>
        <v>21446304.349999998</v>
      </c>
      <c r="E68" s="201">
        <v>21.37</v>
      </c>
      <c r="F68" s="201">
        <v>69.710000000000008</v>
      </c>
      <c r="G68" s="53">
        <f>+Inputs!G68</f>
        <v>30</v>
      </c>
      <c r="H68" s="105">
        <f t="shared" si="6"/>
        <v>0.66666666666666663</v>
      </c>
      <c r="I68" s="53">
        <f>+Inputs!I68</f>
        <v>336</v>
      </c>
      <c r="J68" s="257">
        <v>0</v>
      </c>
      <c r="K68" s="257">
        <v>0</v>
      </c>
      <c r="L68" s="53">
        <f>+Inputs!J68</f>
        <v>0</v>
      </c>
      <c r="M68" s="53">
        <f>+Inputs!M68</f>
        <v>66</v>
      </c>
      <c r="N68" s="53">
        <f t="shared" ref="N68:N131" si="12">$T$18+$T$19*E68+$T$20*F68+$T$21*G68+$T$22*H68+$T$23*I68+J68*$T$24+K68*$T$25+L68*$T$26+M68*$T$27</f>
        <v>20835136.35860293</v>
      </c>
      <c r="O68" s="37">
        <f t="shared" si="7"/>
        <v>-611167.9913970679</v>
      </c>
      <c r="P68" s="45">
        <f t="shared" si="8"/>
        <v>-2.8497590140609375E-2</v>
      </c>
      <c r="Q68" s="12">
        <f t="shared" si="9"/>
        <v>2.8497590140609375E-2</v>
      </c>
    </row>
    <row r="69" spans="1:27" ht="13.5" thickBot="1" x14ac:dyDescent="0.25">
      <c r="A69" s="3" t="str">
        <f t="shared" si="10"/>
        <v>20187</v>
      </c>
      <c r="B69" s="49">
        <f t="shared" si="11"/>
        <v>2018</v>
      </c>
      <c r="C69" s="52">
        <v>43312</v>
      </c>
      <c r="D69" s="53">
        <f>+Inputs!D69</f>
        <v>23894162.989999998</v>
      </c>
      <c r="E69" s="201">
        <v>1.24</v>
      </c>
      <c r="F69" s="201">
        <v>140.78500000000003</v>
      </c>
      <c r="G69" s="53">
        <f>+Inputs!G69</f>
        <v>31</v>
      </c>
      <c r="H69" s="105">
        <f t="shared" si="6"/>
        <v>0</v>
      </c>
      <c r="I69" s="53">
        <f>+Inputs!I69</f>
        <v>336</v>
      </c>
      <c r="J69" s="257">
        <v>0</v>
      </c>
      <c r="K69" s="257">
        <v>0</v>
      </c>
      <c r="L69" s="53">
        <f>+Inputs!J69</f>
        <v>0</v>
      </c>
      <c r="M69" s="53">
        <f>+Inputs!M69</f>
        <v>67</v>
      </c>
      <c r="N69" s="53">
        <f t="shared" si="12"/>
        <v>23241720.066780612</v>
      </c>
      <c r="O69" s="37">
        <f t="shared" si="7"/>
        <v>-652442.92321938649</v>
      </c>
      <c r="P69" s="45">
        <f t="shared" si="8"/>
        <v>-2.7305535811923687E-2</v>
      </c>
      <c r="Q69" s="12">
        <f t="shared" si="9"/>
        <v>2.7305535811923687E-2</v>
      </c>
      <c r="S69" t="s">
        <v>26</v>
      </c>
    </row>
    <row r="70" spans="1:27" x14ac:dyDescent="0.2">
      <c r="A70" s="3" t="str">
        <f t="shared" si="10"/>
        <v>20188</v>
      </c>
      <c r="B70" s="49">
        <f t="shared" si="11"/>
        <v>2018</v>
      </c>
      <c r="C70" s="52">
        <v>43343</v>
      </c>
      <c r="D70" s="53">
        <f>+Inputs!D70</f>
        <v>23956344.050000001</v>
      </c>
      <c r="E70" s="201">
        <v>3.5549999999999997</v>
      </c>
      <c r="F70" s="201">
        <v>122.37</v>
      </c>
      <c r="G70" s="53">
        <f>+Inputs!G70</f>
        <v>31</v>
      </c>
      <c r="H70" s="105">
        <f t="shared" si="6"/>
        <v>0</v>
      </c>
      <c r="I70" s="53">
        <f>+Inputs!I70</f>
        <v>368</v>
      </c>
      <c r="J70" s="257">
        <v>0</v>
      </c>
      <c r="K70" s="257">
        <v>0</v>
      </c>
      <c r="L70" s="53">
        <f>+Inputs!J70</f>
        <v>0</v>
      </c>
      <c r="M70" s="53">
        <f>+Inputs!M70</f>
        <v>68</v>
      </c>
      <c r="N70" s="53">
        <f t="shared" si="12"/>
        <v>23178739.949650291</v>
      </c>
      <c r="O70" s="37">
        <f t="shared" si="7"/>
        <v>-777604.10034970939</v>
      </c>
      <c r="P70" s="45">
        <f t="shared" si="8"/>
        <v>-3.2459214090712202E-2</v>
      </c>
      <c r="Q70" s="12">
        <f t="shared" si="9"/>
        <v>3.2459214090712202E-2</v>
      </c>
      <c r="S70" s="91"/>
      <c r="T70" s="91" t="s">
        <v>30</v>
      </c>
      <c r="U70" s="91" t="s">
        <v>31</v>
      </c>
      <c r="V70" s="91" t="s">
        <v>32</v>
      </c>
      <c r="W70" s="91" t="s">
        <v>33</v>
      </c>
      <c r="X70" s="91" t="s">
        <v>34</v>
      </c>
    </row>
    <row r="71" spans="1:27" x14ac:dyDescent="0.2">
      <c r="A71" s="3" t="str">
        <f t="shared" si="10"/>
        <v>20189</v>
      </c>
      <c r="B71" s="49">
        <f t="shared" si="11"/>
        <v>2018</v>
      </c>
      <c r="C71" s="52">
        <v>43373</v>
      </c>
      <c r="D71" s="53">
        <f>+Inputs!D71</f>
        <v>21668452.539136905</v>
      </c>
      <c r="E71" s="201">
        <v>44.225000000000009</v>
      </c>
      <c r="F71" s="201">
        <v>50.904999999999987</v>
      </c>
      <c r="G71" s="53">
        <f>+Inputs!G71</f>
        <v>30</v>
      </c>
      <c r="H71" s="105">
        <f t="shared" si="6"/>
        <v>0.33333333333333331</v>
      </c>
      <c r="I71" s="53">
        <f>+Inputs!I71</f>
        <v>304</v>
      </c>
      <c r="J71" s="257">
        <v>0</v>
      </c>
      <c r="K71" s="257">
        <v>0</v>
      </c>
      <c r="L71" s="53">
        <f>+Inputs!J71</f>
        <v>0</v>
      </c>
      <c r="M71" s="53">
        <f>+Inputs!M71</f>
        <v>69</v>
      </c>
      <c r="N71" s="53">
        <f t="shared" si="12"/>
        <v>20371674.507249806</v>
      </c>
      <c r="O71" s="37">
        <f t="shared" si="7"/>
        <v>-1296778.0318870991</v>
      </c>
      <c r="P71" s="45">
        <f t="shared" si="8"/>
        <v>-5.984636095009082E-2</v>
      </c>
      <c r="Q71" s="12">
        <f t="shared" si="9"/>
        <v>5.984636095009082E-2</v>
      </c>
      <c r="S71" t="s">
        <v>27</v>
      </c>
      <c r="T71">
        <v>7</v>
      </c>
      <c r="U71">
        <v>238424244349937.44</v>
      </c>
      <c r="V71">
        <v>34060606335705.348</v>
      </c>
      <c r="W71">
        <v>189.46943932251477</v>
      </c>
      <c r="X71">
        <v>5.1605413713013566E-59</v>
      </c>
    </row>
    <row r="72" spans="1:27" x14ac:dyDescent="0.2">
      <c r="A72" s="3" t="str">
        <f t="shared" si="10"/>
        <v>201810</v>
      </c>
      <c r="B72" s="49">
        <f t="shared" si="11"/>
        <v>2018</v>
      </c>
      <c r="C72" s="52">
        <v>43404</v>
      </c>
      <c r="D72" s="53">
        <f>+Inputs!D72</f>
        <v>21228062.899999999</v>
      </c>
      <c r="E72" s="201">
        <v>222.22000000000003</v>
      </c>
      <c r="F72" s="201">
        <v>3.3</v>
      </c>
      <c r="G72" s="53">
        <f>+Inputs!G72</f>
        <v>31</v>
      </c>
      <c r="H72" s="105">
        <f t="shared" si="6"/>
        <v>1</v>
      </c>
      <c r="I72" s="53">
        <f>+Inputs!I72</f>
        <v>352</v>
      </c>
      <c r="J72" s="257">
        <v>0</v>
      </c>
      <c r="K72" s="257">
        <v>0</v>
      </c>
      <c r="L72" s="53">
        <f>+Inputs!J72</f>
        <v>0</v>
      </c>
      <c r="M72" s="53">
        <f>+Inputs!M72</f>
        <v>70</v>
      </c>
      <c r="N72" s="53">
        <f t="shared" si="12"/>
        <v>20855508.321651004</v>
      </c>
      <c r="O72" s="37">
        <f t="shared" si="7"/>
        <v>-372554.57834899426</v>
      </c>
      <c r="P72" s="45">
        <f t="shared" si="8"/>
        <v>-1.7550097722246447E-2</v>
      </c>
      <c r="Q72" s="12">
        <f t="shared" si="9"/>
        <v>1.7550097722246447E-2</v>
      </c>
      <c r="S72" t="s">
        <v>28</v>
      </c>
      <c r="T72">
        <v>112</v>
      </c>
      <c r="U72">
        <v>20134053931016.648</v>
      </c>
      <c r="V72">
        <v>179768338669.7915</v>
      </c>
    </row>
    <row r="73" spans="1:27" ht="13.5" thickBot="1" x14ac:dyDescent="0.25">
      <c r="A73" s="3" t="str">
        <f t="shared" si="10"/>
        <v>201811</v>
      </c>
      <c r="B73" s="49">
        <f t="shared" si="11"/>
        <v>2018</v>
      </c>
      <c r="C73" s="52">
        <v>43434</v>
      </c>
      <c r="D73" s="53">
        <f>+Inputs!D73</f>
        <v>22168373.890000001</v>
      </c>
      <c r="E73" s="201">
        <v>420.84500000000008</v>
      </c>
      <c r="F73" s="201">
        <v>0.09</v>
      </c>
      <c r="G73" s="53">
        <f>+Inputs!G73</f>
        <v>30</v>
      </c>
      <c r="H73" s="105">
        <f t="shared" si="6"/>
        <v>1</v>
      </c>
      <c r="I73" s="53">
        <f>+Inputs!I73</f>
        <v>352</v>
      </c>
      <c r="J73" s="257">
        <v>0</v>
      </c>
      <c r="K73" s="257">
        <v>0</v>
      </c>
      <c r="L73" s="53">
        <f>+Inputs!J73</f>
        <v>0</v>
      </c>
      <c r="M73" s="53">
        <f>+Inputs!M73</f>
        <v>71</v>
      </c>
      <c r="N73" s="53">
        <f t="shared" si="12"/>
        <v>21517247.997617759</v>
      </c>
      <c r="O73" s="37">
        <f t="shared" si="7"/>
        <v>-651125.89238224179</v>
      </c>
      <c r="P73" s="45">
        <f t="shared" si="8"/>
        <v>-2.9371838259907738E-2</v>
      </c>
      <c r="Q73" s="12">
        <f t="shared" si="9"/>
        <v>2.9371838259907738E-2</v>
      </c>
      <c r="S73" s="90" t="s">
        <v>11</v>
      </c>
      <c r="T73" s="90">
        <v>119</v>
      </c>
      <c r="U73" s="90">
        <v>258558298280954.09</v>
      </c>
      <c r="V73" s="90"/>
      <c r="W73" s="90"/>
      <c r="X73" s="90"/>
    </row>
    <row r="74" spans="1:27" ht="13.5" thickBot="1" x14ac:dyDescent="0.25">
      <c r="A74" s="3" t="str">
        <f t="shared" si="10"/>
        <v>201812</v>
      </c>
      <c r="B74" s="49">
        <f t="shared" si="11"/>
        <v>2018</v>
      </c>
      <c r="C74" s="52">
        <v>43465</v>
      </c>
      <c r="D74" s="53">
        <f>+Inputs!D74</f>
        <v>22187282.27</v>
      </c>
      <c r="E74" s="201">
        <v>579.06000000000006</v>
      </c>
      <c r="F74" s="201">
        <v>0</v>
      </c>
      <c r="G74" s="53">
        <f>+Inputs!G74</f>
        <v>31</v>
      </c>
      <c r="H74" s="105">
        <f t="shared" si="6"/>
        <v>0.66666666666666663</v>
      </c>
      <c r="I74" s="53">
        <f>+Inputs!I74</f>
        <v>304</v>
      </c>
      <c r="J74" s="257">
        <v>0</v>
      </c>
      <c r="K74" s="257">
        <v>0</v>
      </c>
      <c r="L74" s="53">
        <f>+Inputs!J74</f>
        <v>0</v>
      </c>
      <c r="M74" s="53">
        <f>+Inputs!M74</f>
        <v>72</v>
      </c>
      <c r="N74" s="53">
        <f t="shared" si="12"/>
        <v>22505530.462481942</v>
      </c>
      <c r="O74" s="37">
        <f t="shared" si="7"/>
        <v>318248.19248194247</v>
      </c>
      <c r="P74" s="45">
        <f t="shared" si="8"/>
        <v>1.434372126379147E-2</v>
      </c>
      <c r="Q74" s="12">
        <f t="shared" si="9"/>
        <v>1.434372126379147E-2</v>
      </c>
    </row>
    <row r="75" spans="1:27" x14ac:dyDescent="0.2">
      <c r="A75" s="3" t="str">
        <f t="shared" si="10"/>
        <v>20191</v>
      </c>
      <c r="B75" s="49">
        <f t="shared" si="11"/>
        <v>2019</v>
      </c>
      <c r="C75" s="52">
        <v>43496</v>
      </c>
      <c r="D75" s="53">
        <f>+Inputs!D75</f>
        <v>24587574.760000002</v>
      </c>
      <c r="E75" s="201">
        <v>703.65</v>
      </c>
      <c r="F75" s="201">
        <v>0</v>
      </c>
      <c r="G75" s="53">
        <f>+Inputs!G75</f>
        <v>31</v>
      </c>
      <c r="H75" s="105">
        <f t="shared" si="6"/>
        <v>0</v>
      </c>
      <c r="I75" s="53">
        <f>+Inputs!I75</f>
        <v>352</v>
      </c>
      <c r="J75" s="257">
        <v>0</v>
      </c>
      <c r="K75" s="257">
        <v>0</v>
      </c>
      <c r="L75" s="53">
        <f>+Inputs!J75</f>
        <v>0</v>
      </c>
      <c r="M75" s="53">
        <f>+Inputs!M75</f>
        <v>73</v>
      </c>
      <c r="N75" s="53">
        <f t="shared" si="12"/>
        <v>24133517.221747238</v>
      </c>
      <c r="O75" s="37">
        <f t="shared" si="7"/>
        <v>-454057.53825276345</v>
      </c>
      <c r="P75" s="45">
        <f t="shared" si="8"/>
        <v>-1.8466950998007395E-2</v>
      </c>
      <c r="Q75" s="12">
        <f t="shared" si="9"/>
        <v>1.8466950998007395E-2</v>
      </c>
      <c r="R75" s="46"/>
      <c r="S75" s="91"/>
      <c r="T75" s="91" t="s">
        <v>35</v>
      </c>
      <c r="U75" s="91" t="s">
        <v>24</v>
      </c>
      <c r="V75" s="91" t="s">
        <v>36</v>
      </c>
      <c r="W75" s="91" t="s">
        <v>37</v>
      </c>
      <c r="X75" s="91" t="s">
        <v>38</v>
      </c>
      <c r="Y75" s="91" t="s">
        <v>39</v>
      </c>
      <c r="Z75" s="91" t="s">
        <v>105</v>
      </c>
      <c r="AA75" s="91" t="s">
        <v>106</v>
      </c>
    </row>
    <row r="76" spans="1:27" x14ac:dyDescent="0.2">
      <c r="A76" s="3" t="str">
        <f t="shared" si="10"/>
        <v>20192</v>
      </c>
      <c r="B76" s="49">
        <f t="shared" si="11"/>
        <v>2019</v>
      </c>
      <c r="C76" s="52">
        <v>43524</v>
      </c>
      <c r="D76" s="53">
        <f>+Inputs!D76</f>
        <v>21580871.099999998</v>
      </c>
      <c r="E76" s="201">
        <v>630.40499999999997</v>
      </c>
      <c r="F76" s="201">
        <v>0</v>
      </c>
      <c r="G76" s="53">
        <f>+Inputs!G76</f>
        <v>28</v>
      </c>
      <c r="H76" s="105">
        <f t="shared" si="6"/>
        <v>0</v>
      </c>
      <c r="I76" s="53">
        <f>+Inputs!I76</f>
        <v>304</v>
      </c>
      <c r="J76" s="257">
        <v>0</v>
      </c>
      <c r="K76" s="257">
        <v>0</v>
      </c>
      <c r="L76" s="53">
        <f>+Inputs!J76</f>
        <v>0</v>
      </c>
      <c r="M76" s="53">
        <f>+Inputs!M76</f>
        <v>74</v>
      </c>
      <c r="N76" s="53">
        <f t="shared" si="12"/>
        <v>21923741.780530959</v>
      </c>
      <c r="O76" s="37">
        <f t="shared" si="7"/>
        <v>342870.6805309616</v>
      </c>
      <c r="P76" s="45">
        <f t="shared" si="8"/>
        <v>1.5887712731436576E-2</v>
      </c>
      <c r="Q76" s="12">
        <f t="shared" si="9"/>
        <v>1.5887712731436576E-2</v>
      </c>
      <c r="S76" t="s">
        <v>29</v>
      </c>
      <c r="T76" s="113">
        <v>2258658.1192288594</v>
      </c>
      <c r="U76" s="113">
        <v>1496349.7974814321</v>
      </c>
      <c r="V76" s="113">
        <v>1.5094452667621567</v>
      </c>
      <c r="W76" s="113">
        <v>0.13400103060277765</v>
      </c>
      <c r="X76" s="113">
        <v>-706167.19469671417</v>
      </c>
      <c r="Y76" s="113">
        <v>5223483.433154433</v>
      </c>
      <c r="Z76" s="113">
        <v>-706167.19469671417</v>
      </c>
      <c r="AA76" s="113">
        <v>5223483.433154433</v>
      </c>
    </row>
    <row r="77" spans="1:27" x14ac:dyDescent="0.2">
      <c r="A77" s="3" t="str">
        <f t="shared" si="10"/>
        <v>20193</v>
      </c>
      <c r="B77" s="49">
        <f t="shared" si="11"/>
        <v>2019</v>
      </c>
      <c r="C77" s="52">
        <v>43555</v>
      </c>
      <c r="D77" s="53">
        <f>+Inputs!D77</f>
        <v>23246608.300000001</v>
      </c>
      <c r="E77" s="201">
        <v>547.82999999999993</v>
      </c>
      <c r="F77" s="201">
        <v>0</v>
      </c>
      <c r="G77" s="53">
        <f>+Inputs!G77</f>
        <v>31</v>
      </c>
      <c r="H77" s="105">
        <f t="shared" si="6"/>
        <v>0.33333333333333331</v>
      </c>
      <c r="I77" s="53">
        <f>+Inputs!I77</f>
        <v>336</v>
      </c>
      <c r="J77" s="257">
        <v>0</v>
      </c>
      <c r="K77" s="257">
        <v>0</v>
      </c>
      <c r="L77" s="53">
        <f>+Inputs!J77</f>
        <v>0</v>
      </c>
      <c r="M77" s="53">
        <f>+Inputs!M77</f>
        <v>75</v>
      </c>
      <c r="N77" s="53">
        <f t="shared" si="12"/>
        <v>22903643.294297699</v>
      </c>
      <c r="O77" s="37">
        <f t="shared" si="7"/>
        <v>-342965.00570230186</v>
      </c>
      <c r="P77" s="45">
        <f t="shared" si="8"/>
        <v>-1.4753335251160137E-2</v>
      </c>
      <c r="Q77" s="12">
        <f t="shared" si="9"/>
        <v>1.4753335251160137E-2</v>
      </c>
      <c r="S77" t="s">
        <v>4</v>
      </c>
      <c r="T77" s="113">
        <v>5946.3608205387</v>
      </c>
      <c r="U77" s="113">
        <v>270.60569874209762</v>
      </c>
      <c r="V77" s="113">
        <v>21.974263100075785</v>
      </c>
      <c r="W77" s="113">
        <v>2.0390315905097663E-42</v>
      </c>
      <c r="X77" s="113">
        <v>5410.1903161062</v>
      </c>
      <c r="Y77" s="113">
        <v>6482.5313249711999</v>
      </c>
      <c r="Z77" s="113">
        <v>5410.1903161062</v>
      </c>
      <c r="AA77" s="113">
        <v>6482.5313249711999</v>
      </c>
    </row>
    <row r="78" spans="1:27" x14ac:dyDescent="0.2">
      <c r="A78" s="3" t="str">
        <f t="shared" si="10"/>
        <v>20194</v>
      </c>
      <c r="B78" s="49">
        <f t="shared" si="11"/>
        <v>2019</v>
      </c>
      <c r="C78" s="52">
        <v>43585</v>
      </c>
      <c r="D78" s="53">
        <f>+Inputs!D78</f>
        <v>20642403.32</v>
      </c>
      <c r="E78" s="201">
        <v>338.72500000000002</v>
      </c>
      <c r="F78" s="201">
        <v>0.71000000000000008</v>
      </c>
      <c r="G78" s="53">
        <f>+Inputs!G78</f>
        <v>30</v>
      </c>
      <c r="H78" s="105">
        <f t="shared" si="6"/>
        <v>1</v>
      </c>
      <c r="I78" s="53">
        <f>+Inputs!I78</f>
        <v>336</v>
      </c>
      <c r="J78" s="257">
        <v>0</v>
      </c>
      <c r="K78" s="257">
        <v>0</v>
      </c>
      <c r="L78" s="53">
        <f>+Inputs!J78</f>
        <v>0</v>
      </c>
      <c r="M78" s="53">
        <f>+Inputs!M78</f>
        <v>76</v>
      </c>
      <c r="N78" s="53">
        <f t="shared" si="12"/>
        <v>20948543.997826375</v>
      </c>
      <c r="O78" s="37">
        <f t="shared" si="7"/>
        <v>306140.67782637477</v>
      </c>
      <c r="P78" s="45">
        <f t="shared" si="8"/>
        <v>1.4830670299410407E-2</v>
      </c>
      <c r="Q78" s="12">
        <f t="shared" si="9"/>
        <v>1.4830670299410407E-2</v>
      </c>
      <c r="S78" t="s">
        <v>5</v>
      </c>
      <c r="T78" s="113">
        <v>24882.048393118192</v>
      </c>
      <c r="U78" s="113">
        <v>1520.2390433348951</v>
      </c>
      <c r="V78" s="113">
        <v>16.367194687050869</v>
      </c>
      <c r="W78" s="113">
        <v>1.7632746982543656E-31</v>
      </c>
      <c r="X78" s="113">
        <v>21869.889600779916</v>
      </c>
      <c r="Y78" s="113">
        <v>27894.207185456467</v>
      </c>
      <c r="Z78" s="113">
        <v>21869.889600779916</v>
      </c>
      <c r="AA78" s="113">
        <v>27894.207185456467</v>
      </c>
    </row>
    <row r="79" spans="1:27" x14ac:dyDescent="0.2">
      <c r="A79" s="3" t="str">
        <f t="shared" si="10"/>
        <v>20195</v>
      </c>
      <c r="B79" s="49">
        <f t="shared" si="11"/>
        <v>2019</v>
      </c>
      <c r="C79" s="52">
        <v>43616</v>
      </c>
      <c r="D79" s="53">
        <f>+Inputs!D79</f>
        <v>20313028.579999998</v>
      </c>
      <c r="E79" s="201">
        <v>144.06</v>
      </c>
      <c r="F79" s="201">
        <v>23.914999999999999</v>
      </c>
      <c r="G79" s="53">
        <f>+Inputs!G79</f>
        <v>31</v>
      </c>
      <c r="H79" s="105">
        <f t="shared" si="6"/>
        <v>1</v>
      </c>
      <c r="I79" s="53">
        <f>+Inputs!I79</f>
        <v>352</v>
      </c>
      <c r="J79" s="257">
        <v>0</v>
      </c>
      <c r="K79" s="257">
        <v>0</v>
      </c>
      <c r="L79" s="53">
        <f>+Inputs!J79</f>
        <v>0</v>
      </c>
      <c r="M79" s="53">
        <f>+Inputs!M79</f>
        <v>77</v>
      </c>
      <c r="N79" s="53">
        <f t="shared" si="12"/>
        <v>21003302.818435363</v>
      </c>
      <c r="O79" s="37">
        <f t="shared" si="7"/>
        <v>690274.23843536526</v>
      </c>
      <c r="P79" s="45">
        <f t="shared" si="8"/>
        <v>3.3981847449129389E-2</v>
      </c>
      <c r="Q79" s="12">
        <f t="shared" si="9"/>
        <v>3.3981847449129389E-2</v>
      </c>
      <c r="S79" t="s">
        <v>6</v>
      </c>
      <c r="T79" s="113">
        <v>406448.70984653354</v>
      </c>
      <c r="U79" s="113">
        <v>55060.738850609203</v>
      </c>
      <c r="V79" s="113">
        <v>7.3818244784057505</v>
      </c>
      <c r="W79" s="113">
        <v>2.948905158177983E-11</v>
      </c>
      <c r="X79" s="113">
        <v>297352.91378167178</v>
      </c>
      <c r="Y79" s="113">
        <v>515544.5059113953</v>
      </c>
      <c r="Z79" s="113">
        <v>297352.91378167178</v>
      </c>
      <c r="AA79" s="113">
        <v>515544.5059113953</v>
      </c>
    </row>
    <row r="80" spans="1:27" x14ac:dyDescent="0.2">
      <c r="A80" s="3" t="str">
        <f t="shared" si="10"/>
        <v>20196</v>
      </c>
      <c r="B80" s="49">
        <f t="shared" si="11"/>
        <v>2019</v>
      </c>
      <c r="C80" s="52">
        <v>43646</v>
      </c>
      <c r="D80" s="53">
        <f>+Inputs!D80</f>
        <v>20039267.039999999</v>
      </c>
      <c r="E80" s="201">
        <v>21.37</v>
      </c>
      <c r="F80" s="201">
        <v>69.710000000000008</v>
      </c>
      <c r="G80" s="53">
        <f>+Inputs!G80</f>
        <v>30</v>
      </c>
      <c r="H80" s="105">
        <f t="shared" ref="H80:H143" si="13">+H68</f>
        <v>0.66666666666666663</v>
      </c>
      <c r="I80" s="53">
        <f>+Inputs!I80</f>
        <v>320</v>
      </c>
      <c r="J80" s="257">
        <v>0</v>
      </c>
      <c r="K80" s="257">
        <v>0</v>
      </c>
      <c r="L80" s="53">
        <f>+Inputs!J80</f>
        <v>0</v>
      </c>
      <c r="M80" s="53">
        <f>+Inputs!M80</f>
        <v>78</v>
      </c>
      <c r="N80" s="53">
        <f t="shared" si="12"/>
        <v>20822957.386954013</v>
      </c>
      <c r="O80" s="37">
        <f t="shared" si="7"/>
        <v>783690.34695401415</v>
      </c>
      <c r="P80" s="45">
        <f t="shared" si="8"/>
        <v>3.910773509778101E-2</v>
      </c>
      <c r="Q80" s="12">
        <f t="shared" si="9"/>
        <v>3.910773509778101E-2</v>
      </c>
      <c r="S80" t="s">
        <v>18</v>
      </c>
      <c r="T80" s="113">
        <v>-467101.48120819684</v>
      </c>
      <c r="U80" s="113">
        <v>135091.28327382391</v>
      </c>
      <c r="V80" s="113">
        <v>-3.4576729888737772</v>
      </c>
      <c r="W80" s="113">
        <v>7.712010646615823E-4</v>
      </c>
      <c r="X80" s="113">
        <v>-734767.54232242214</v>
      </c>
      <c r="Y80" s="113">
        <v>-199435.4200939716</v>
      </c>
      <c r="Z80" s="113">
        <v>-734767.54232242214</v>
      </c>
      <c r="AA80" s="113">
        <v>-199435.4200939716</v>
      </c>
    </row>
    <row r="81" spans="1:27" x14ac:dyDescent="0.2">
      <c r="A81" s="3" t="str">
        <f t="shared" si="10"/>
        <v>20197</v>
      </c>
      <c r="B81" s="49">
        <f t="shared" si="11"/>
        <v>2019</v>
      </c>
      <c r="C81" s="52">
        <v>43677</v>
      </c>
      <c r="D81" s="53">
        <f>+Inputs!D81</f>
        <v>24391822</v>
      </c>
      <c r="E81" s="201">
        <v>1.24</v>
      </c>
      <c r="F81" s="201">
        <v>140.78500000000003</v>
      </c>
      <c r="G81" s="53">
        <f>+Inputs!G81</f>
        <v>31</v>
      </c>
      <c r="H81" s="105">
        <f t="shared" si="13"/>
        <v>0</v>
      </c>
      <c r="I81" s="53">
        <f>+Inputs!I81</f>
        <v>352</v>
      </c>
      <c r="J81" s="257">
        <v>0</v>
      </c>
      <c r="K81" s="257">
        <v>0</v>
      </c>
      <c r="L81" s="53">
        <f>+Inputs!J81</f>
        <v>0</v>
      </c>
      <c r="M81" s="53">
        <f>+Inputs!M81</f>
        <v>79</v>
      </c>
      <c r="N81" s="53">
        <f t="shared" si="12"/>
        <v>23587606.246254984</v>
      </c>
      <c r="O81" s="37">
        <f t="shared" si="7"/>
        <v>-804215.75374501571</v>
      </c>
      <c r="P81" s="45">
        <f t="shared" si="8"/>
        <v>-3.2970712632496894E-2</v>
      </c>
      <c r="Q81" s="12">
        <f t="shared" si="9"/>
        <v>3.2970712632496894E-2</v>
      </c>
      <c r="R81"/>
      <c r="S81" t="s">
        <v>7</v>
      </c>
      <c r="T81" s="113">
        <v>11627.963665702044</v>
      </c>
      <c r="U81" s="113">
        <v>2635.4973446893673</v>
      </c>
      <c r="V81" s="113">
        <v>4.4120566803578294</v>
      </c>
      <c r="W81" s="113">
        <v>2.3661190114191892E-5</v>
      </c>
      <c r="X81" s="113">
        <v>6406.0635087531946</v>
      </c>
      <c r="Y81" s="113">
        <v>16849.863822650892</v>
      </c>
      <c r="Z81" s="113">
        <v>6406.0635087531946</v>
      </c>
      <c r="AA81" s="113">
        <v>16849.863822650892</v>
      </c>
    </row>
    <row r="82" spans="1:27" x14ac:dyDescent="0.2">
      <c r="A82" s="3" t="str">
        <f t="shared" si="10"/>
        <v>20198</v>
      </c>
      <c r="B82" s="49">
        <f t="shared" si="11"/>
        <v>2019</v>
      </c>
      <c r="C82" s="52">
        <v>43708</v>
      </c>
      <c r="D82" s="53">
        <f>+Inputs!D82</f>
        <v>22245573.850000001</v>
      </c>
      <c r="E82" s="201">
        <v>3.5549999999999997</v>
      </c>
      <c r="F82" s="201">
        <v>122.37</v>
      </c>
      <c r="G82" s="53">
        <f>+Inputs!G82</f>
        <v>31</v>
      </c>
      <c r="H82" s="105">
        <f t="shared" si="13"/>
        <v>0</v>
      </c>
      <c r="I82" s="53">
        <f>+Inputs!I82</f>
        <v>352</v>
      </c>
      <c r="J82" s="257">
        <v>0</v>
      </c>
      <c r="K82" s="257">
        <v>0</v>
      </c>
      <c r="L82" s="53">
        <f>+Inputs!J82</f>
        <v>0</v>
      </c>
      <c r="M82" s="53">
        <f>+Inputs!M82</f>
        <v>80</v>
      </c>
      <c r="N82" s="53">
        <f t="shared" si="12"/>
        <v>23166560.978001378</v>
      </c>
      <c r="O82" s="37">
        <f t="shared" si="7"/>
        <v>920987.12800137699</v>
      </c>
      <c r="P82" s="45">
        <f t="shared" si="8"/>
        <v>4.1400915715257079E-2</v>
      </c>
      <c r="Q82" s="12">
        <f t="shared" si="9"/>
        <v>4.1400915715257079E-2</v>
      </c>
      <c r="R82"/>
      <c r="S82" t="s">
        <v>145</v>
      </c>
      <c r="T82" s="113">
        <v>-2294129.6123667345</v>
      </c>
      <c r="U82" s="113">
        <v>430609.75981974351</v>
      </c>
      <c r="V82" s="113">
        <v>-5.3276303196821981</v>
      </c>
      <c r="W82" s="113">
        <v>5.200446127897796E-7</v>
      </c>
      <c r="X82" s="113">
        <v>-3147327.6536842287</v>
      </c>
      <c r="Y82" s="113">
        <v>-1440931.5710492404</v>
      </c>
      <c r="Z82" s="113">
        <v>-3147327.6536842287</v>
      </c>
      <c r="AA82" s="113">
        <v>-1440931.5710492404</v>
      </c>
    </row>
    <row r="83" spans="1:27" ht="13.5" thickBot="1" x14ac:dyDescent="0.25">
      <c r="A83" s="3" t="str">
        <f t="shared" si="10"/>
        <v>20199</v>
      </c>
      <c r="B83" s="49">
        <f t="shared" si="11"/>
        <v>2019</v>
      </c>
      <c r="C83" s="52">
        <v>43738</v>
      </c>
      <c r="D83" s="53">
        <f>+Inputs!D83</f>
        <v>20055564.270000003</v>
      </c>
      <c r="E83" s="201">
        <v>44.225000000000009</v>
      </c>
      <c r="F83" s="201">
        <v>50.904999999999987</v>
      </c>
      <c r="G83" s="53">
        <f>+Inputs!G83</f>
        <v>30</v>
      </c>
      <c r="H83" s="105">
        <f t="shared" si="13"/>
        <v>0.33333333333333331</v>
      </c>
      <c r="I83" s="53">
        <f>+Inputs!I83</f>
        <v>320</v>
      </c>
      <c r="J83" s="257">
        <v>0</v>
      </c>
      <c r="K83" s="257">
        <v>0</v>
      </c>
      <c r="L83" s="53">
        <f>+Inputs!J83</f>
        <v>0</v>
      </c>
      <c r="M83" s="53">
        <f>+Inputs!M83</f>
        <v>81</v>
      </c>
      <c r="N83" s="53">
        <f t="shared" si="12"/>
        <v>20717560.686724175</v>
      </c>
      <c r="O83" s="37">
        <f t="shared" si="7"/>
        <v>661996.41672417149</v>
      </c>
      <c r="P83" s="45">
        <f t="shared" si="8"/>
        <v>3.3008117239284804E-2</v>
      </c>
      <c r="Q83" s="12">
        <f t="shared" si="9"/>
        <v>3.3008117239284804E-2</v>
      </c>
      <c r="R83"/>
      <c r="S83" s="90" t="s">
        <v>70</v>
      </c>
      <c r="T83" s="114">
        <v>13922.408318102209</v>
      </c>
      <c r="U83" s="114">
        <v>1130.3424725072434</v>
      </c>
      <c r="V83" s="114">
        <v>12.316982380765129</v>
      </c>
      <c r="W83" s="114">
        <v>1.4687536347506538E-22</v>
      </c>
      <c r="X83" s="114">
        <v>11682.779601918764</v>
      </c>
      <c r="Y83" s="114">
        <v>16162.037034285653</v>
      </c>
      <c r="Z83" s="114">
        <v>11682.779601918764</v>
      </c>
      <c r="AA83" s="114">
        <v>16162.037034285653</v>
      </c>
    </row>
    <row r="84" spans="1:27" x14ac:dyDescent="0.2">
      <c r="A84" s="3" t="str">
        <f t="shared" si="10"/>
        <v>201910</v>
      </c>
      <c r="B84" s="49">
        <f t="shared" si="11"/>
        <v>2019</v>
      </c>
      <c r="C84" s="52">
        <v>43769</v>
      </c>
      <c r="D84" s="53">
        <f>+Inputs!D84</f>
        <v>20697385.880000003</v>
      </c>
      <c r="E84" s="201">
        <v>222.22000000000003</v>
      </c>
      <c r="F84" s="201">
        <v>3.3</v>
      </c>
      <c r="G84" s="53">
        <f>+Inputs!G84</f>
        <v>31</v>
      </c>
      <c r="H84" s="105">
        <f t="shared" si="13"/>
        <v>1</v>
      </c>
      <c r="I84" s="53">
        <f>+Inputs!I84</f>
        <v>352</v>
      </c>
      <c r="J84" s="257">
        <v>0</v>
      </c>
      <c r="K84" s="257">
        <v>0</v>
      </c>
      <c r="L84" s="53">
        <f>+Inputs!J84</f>
        <v>0</v>
      </c>
      <c r="M84" s="53">
        <f>+Inputs!M84</f>
        <v>82</v>
      </c>
      <c r="N84" s="53">
        <f t="shared" si="12"/>
        <v>21022361.92556373</v>
      </c>
      <c r="O84" s="37">
        <f t="shared" si="7"/>
        <v>324976.04556372762</v>
      </c>
      <c r="P84" s="45">
        <f t="shared" si="8"/>
        <v>1.570130872796616E-2</v>
      </c>
      <c r="Q84" s="12">
        <f t="shared" si="9"/>
        <v>1.570130872796616E-2</v>
      </c>
      <c r="R84"/>
    </row>
    <row r="85" spans="1:27" x14ac:dyDescent="0.2">
      <c r="A85" s="3" t="str">
        <f t="shared" si="10"/>
        <v>201911</v>
      </c>
      <c r="B85" s="49">
        <f t="shared" si="11"/>
        <v>2019</v>
      </c>
      <c r="C85" s="52">
        <v>43799</v>
      </c>
      <c r="D85" s="53">
        <f>+Inputs!D85</f>
        <v>22060075.600000001</v>
      </c>
      <c r="E85" s="201">
        <v>420.84500000000008</v>
      </c>
      <c r="F85" s="201">
        <v>0.09</v>
      </c>
      <c r="G85" s="53">
        <f>+Inputs!G85</f>
        <v>30</v>
      </c>
      <c r="H85" s="105">
        <f t="shared" si="13"/>
        <v>1</v>
      </c>
      <c r="I85" s="53">
        <f>+Inputs!I85</f>
        <v>336</v>
      </c>
      <c r="J85" s="257">
        <v>0</v>
      </c>
      <c r="K85" s="257">
        <v>0</v>
      </c>
      <c r="L85" s="53">
        <f>+Inputs!J85</f>
        <v>0</v>
      </c>
      <c r="M85" s="53">
        <f>+Inputs!M85</f>
        <v>83</v>
      </c>
      <c r="N85" s="53">
        <f t="shared" si="12"/>
        <v>21505069.025968842</v>
      </c>
      <c r="O85" s="37">
        <f t="shared" si="7"/>
        <v>-555006.57403115928</v>
      </c>
      <c r="P85" s="45">
        <f t="shared" si="8"/>
        <v>-2.5158869991867082E-2</v>
      </c>
      <c r="Q85" s="12">
        <f t="shared" si="9"/>
        <v>2.5158869991867082E-2</v>
      </c>
      <c r="R85"/>
    </row>
    <row r="86" spans="1:27" x14ac:dyDescent="0.2">
      <c r="A86" s="3" t="str">
        <f t="shared" si="10"/>
        <v>201912</v>
      </c>
      <c r="B86" s="49">
        <f t="shared" si="11"/>
        <v>2019</v>
      </c>
      <c r="C86" s="52">
        <v>43830</v>
      </c>
      <c r="D86" s="53">
        <f>+Inputs!D86</f>
        <v>22125178.859999999</v>
      </c>
      <c r="E86" s="201">
        <v>579.06000000000006</v>
      </c>
      <c r="F86" s="201">
        <v>0</v>
      </c>
      <c r="G86" s="53">
        <f>+Inputs!G86</f>
        <v>31</v>
      </c>
      <c r="H86" s="105">
        <f t="shared" si="13"/>
        <v>0.66666666666666663</v>
      </c>
      <c r="I86" s="53">
        <f>+Inputs!I86</f>
        <v>320</v>
      </c>
      <c r="J86" s="257">
        <v>0</v>
      </c>
      <c r="K86" s="257">
        <v>0</v>
      </c>
      <c r="L86" s="53">
        <f>+Inputs!J86</f>
        <v>0</v>
      </c>
      <c r="M86" s="53">
        <f>+Inputs!M86</f>
        <v>84</v>
      </c>
      <c r="N86" s="53">
        <f t="shared" si="12"/>
        <v>22851416.641956314</v>
      </c>
      <c r="O86" s="37">
        <f t="shared" si="7"/>
        <v>726237.78195631504</v>
      </c>
      <c r="P86" s="45">
        <f t="shared" si="8"/>
        <v>3.282404117732475E-2</v>
      </c>
      <c r="Q86" s="12">
        <f t="shared" si="9"/>
        <v>3.282404117732475E-2</v>
      </c>
      <c r="R86"/>
    </row>
    <row r="87" spans="1:27" x14ac:dyDescent="0.2">
      <c r="A87" s="3" t="str">
        <f t="shared" si="10"/>
        <v>20201</v>
      </c>
      <c r="B87" s="49">
        <f t="shared" si="11"/>
        <v>2020</v>
      </c>
      <c r="C87" s="52">
        <v>43861</v>
      </c>
      <c r="D87" s="53">
        <f>+Inputs!D87</f>
        <v>23214919.18</v>
      </c>
      <c r="E87" s="201">
        <v>703.65</v>
      </c>
      <c r="F87" s="201">
        <v>0</v>
      </c>
      <c r="G87" s="53">
        <f>+Inputs!G87</f>
        <v>31</v>
      </c>
      <c r="H87" s="105">
        <f t="shared" si="13"/>
        <v>0</v>
      </c>
      <c r="I87" s="53">
        <f>+Inputs!I87</f>
        <v>352</v>
      </c>
      <c r="J87" s="257">
        <v>0</v>
      </c>
      <c r="K87" s="257">
        <v>0</v>
      </c>
      <c r="L87" s="53">
        <f>+Inputs!J87</f>
        <v>0</v>
      </c>
      <c r="M87" s="53">
        <f>+Inputs!M87</f>
        <v>85</v>
      </c>
      <c r="N87" s="53">
        <f t="shared" si="12"/>
        <v>24300370.825659964</v>
      </c>
      <c r="O87" s="37">
        <f t="shared" si="7"/>
        <v>1085451.6456599645</v>
      </c>
      <c r="P87" s="45">
        <f t="shared" si="8"/>
        <v>4.6756641160099206E-2</v>
      </c>
      <c r="Q87" s="12">
        <f t="shared" si="9"/>
        <v>4.6756641160099206E-2</v>
      </c>
      <c r="R87"/>
    </row>
    <row r="88" spans="1:27" x14ac:dyDescent="0.2">
      <c r="A88" s="3" t="str">
        <f t="shared" si="10"/>
        <v>20202</v>
      </c>
      <c r="B88" s="49">
        <f t="shared" si="11"/>
        <v>2020</v>
      </c>
      <c r="C88" s="52">
        <v>43890</v>
      </c>
      <c r="D88" s="53">
        <f>+Inputs!D88</f>
        <v>21739398</v>
      </c>
      <c r="E88" s="201">
        <v>630.40499999999997</v>
      </c>
      <c r="F88" s="201">
        <v>0</v>
      </c>
      <c r="G88" s="53">
        <f>+Inputs!G88</f>
        <v>29</v>
      </c>
      <c r="H88" s="105">
        <f t="shared" si="13"/>
        <v>0</v>
      </c>
      <c r="I88" s="53">
        <f>+Inputs!I88</f>
        <v>304</v>
      </c>
      <c r="J88" s="257">
        <v>0</v>
      </c>
      <c r="K88" s="257">
        <v>0</v>
      </c>
      <c r="L88" s="53">
        <f>+Inputs!J88</f>
        <v>0</v>
      </c>
      <c r="M88" s="53">
        <f>+Inputs!M88</f>
        <v>86</v>
      </c>
      <c r="N88" s="53">
        <f t="shared" si="12"/>
        <v>22511779.472803231</v>
      </c>
      <c r="O88" s="37">
        <f t="shared" si="7"/>
        <v>772381.47280323133</v>
      </c>
      <c r="P88" s="45">
        <f t="shared" si="8"/>
        <v>3.5529110456657138E-2</v>
      </c>
      <c r="Q88" s="12">
        <f t="shared" si="9"/>
        <v>3.5529110456657138E-2</v>
      </c>
      <c r="R88"/>
    </row>
    <row r="89" spans="1:27" x14ac:dyDescent="0.2">
      <c r="A89" s="3" t="str">
        <f t="shared" si="10"/>
        <v>20203</v>
      </c>
      <c r="B89" s="49">
        <f t="shared" si="11"/>
        <v>2020</v>
      </c>
      <c r="C89" s="52">
        <v>43921</v>
      </c>
      <c r="D89" s="53">
        <f>+Inputs!D89</f>
        <v>21884530.75</v>
      </c>
      <c r="E89" s="201">
        <v>547.82999999999993</v>
      </c>
      <c r="F89" s="201">
        <v>0</v>
      </c>
      <c r="G89" s="53">
        <f>+Inputs!G89</f>
        <v>31</v>
      </c>
      <c r="H89" s="105">
        <f t="shared" si="13"/>
        <v>0.33333333333333331</v>
      </c>
      <c r="I89" s="53">
        <f>+Inputs!I89</f>
        <v>352</v>
      </c>
      <c r="J89" s="258">
        <v>1</v>
      </c>
      <c r="K89" s="257">
        <v>0</v>
      </c>
      <c r="L89" s="53">
        <v>0</v>
      </c>
      <c r="M89" s="53">
        <f>+Inputs!M89</f>
        <v>87</v>
      </c>
      <c r="N89" s="53">
        <f t="shared" si="12"/>
        <v>23212143.006748099</v>
      </c>
      <c r="O89" s="37">
        <f t="shared" si="7"/>
        <v>1327612.2567480989</v>
      </c>
      <c r="P89" s="45">
        <f t="shared" si="8"/>
        <v>6.0664415057110552E-2</v>
      </c>
      <c r="Q89" s="12">
        <f t="shared" si="9"/>
        <v>6.0664415057110552E-2</v>
      </c>
      <c r="R89"/>
    </row>
    <row r="90" spans="1:27" x14ac:dyDescent="0.2">
      <c r="A90" s="3" t="str">
        <f t="shared" si="10"/>
        <v>20204</v>
      </c>
      <c r="B90" s="49">
        <f t="shared" si="11"/>
        <v>2020</v>
      </c>
      <c r="C90" s="52">
        <v>43951</v>
      </c>
      <c r="D90" s="53">
        <f>+Inputs!D90</f>
        <v>18977422.57</v>
      </c>
      <c r="E90" s="201">
        <v>338.72500000000002</v>
      </c>
      <c r="F90" s="201">
        <v>0.71000000000000008</v>
      </c>
      <c r="G90" s="53">
        <f>+Inputs!G90</f>
        <v>30</v>
      </c>
      <c r="H90" s="105">
        <f t="shared" si="13"/>
        <v>1</v>
      </c>
      <c r="I90" s="53">
        <f>+Inputs!I90</f>
        <v>336</v>
      </c>
      <c r="J90" s="258">
        <v>1</v>
      </c>
      <c r="K90" s="257">
        <v>0</v>
      </c>
      <c r="L90" s="53">
        <v>1</v>
      </c>
      <c r="M90" s="53">
        <f>+Inputs!M90</f>
        <v>88</v>
      </c>
      <c r="N90" s="53">
        <f t="shared" si="12"/>
        <v>18858549.275053188</v>
      </c>
      <c r="O90" s="37">
        <f t="shared" si="7"/>
        <v>-118873.29494681209</v>
      </c>
      <c r="P90" s="45">
        <f t="shared" si="8"/>
        <v>-6.263932549762056E-3</v>
      </c>
      <c r="Q90" s="12">
        <f t="shared" si="9"/>
        <v>6.263932549762056E-3</v>
      </c>
      <c r="R90"/>
    </row>
    <row r="91" spans="1:27" x14ac:dyDescent="0.2">
      <c r="A91" s="3" t="str">
        <f t="shared" si="10"/>
        <v>20205</v>
      </c>
      <c r="B91" s="49">
        <f t="shared" si="11"/>
        <v>2020</v>
      </c>
      <c r="C91" s="52">
        <v>43982</v>
      </c>
      <c r="D91" s="53">
        <f>+Inputs!D91</f>
        <v>19969257.329999998</v>
      </c>
      <c r="E91" s="201">
        <v>144.06</v>
      </c>
      <c r="F91" s="201">
        <v>23.914999999999999</v>
      </c>
      <c r="G91" s="53">
        <f>+Inputs!G91</f>
        <v>31</v>
      </c>
      <c r="H91" s="105">
        <f t="shared" si="13"/>
        <v>1</v>
      </c>
      <c r="I91" s="53">
        <f>+Inputs!I91</f>
        <v>320</v>
      </c>
      <c r="J91" s="258">
        <v>1</v>
      </c>
      <c r="K91" s="257">
        <v>0</v>
      </c>
      <c r="L91" s="53">
        <v>0</v>
      </c>
      <c r="M91" s="53">
        <f>+Inputs!M91</f>
        <v>89</v>
      </c>
      <c r="N91" s="53">
        <f t="shared" si="12"/>
        <v>20774704.804200824</v>
      </c>
      <c r="O91" s="37">
        <f t="shared" si="7"/>
        <v>805447.47420082614</v>
      </c>
      <c r="P91" s="45">
        <f t="shared" si="8"/>
        <v>4.0334373026021102E-2</v>
      </c>
      <c r="Q91" s="12">
        <f t="shared" si="9"/>
        <v>4.0334373026021102E-2</v>
      </c>
      <c r="R91"/>
    </row>
    <row r="92" spans="1:27" x14ac:dyDescent="0.2">
      <c r="A92" s="3" t="str">
        <f t="shared" si="10"/>
        <v>20206</v>
      </c>
      <c r="B92" s="49">
        <f t="shared" si="11"/>
        <v>2020</v>
      </c>
      <c r="C92" s="52">
        <v>44012</v>
      </c>
      <c r="D92" s="53">
        <f>+Inputs!D92</f>
        <v>21668186.52</v>
      </c>
      <c r="E92" s="201">
        <v>21.37</v>
      </c>
      <c r="F92" s="201">
        <v>69.710000000000008</v>
      </c>
      <c r="G92" s="53">
        <f>+Inputs!G92</f>
        <v>30</v>
      </c>
      <c r="H92" s="105">
        <f t="shared" si="13"/>
        <v>0.66666666666666663</v>
      </c>
      <c r="I92" s="53">
        <f>+Inputs!I92</f>
        <v>352</v>
      </c>
      <c r="J92" s="258">
        <v>1</v>
      </c>
      <c r="K92" s="257">
        <v>0</v>
      </c>
      <c r="L92" s="53">
        <f>+Inputs!J92</f>
        <v>0</v>
      </c>
      <c r="M92" s="53">
        <f>+Inputs!M92</f>
        <v>90</v>
      </c>
      <c r="N92" s="53">
        <f t="shared" si="12"/>
        <v>21310489.674966056</v>
      </c>
      <c r="O92" s="37">
        <f t="shared" si="7"/>
        <v>-357696.84503394365</v>
      </c>
      <c r="P92" s="45">
        <f t="shared" si="8"/>
        <v>-1.6507927172575571E-2</v>
      </c>
      <c r="Q92" s="12">
        <f t="shared" si="9"/>
        <v>1.6507927172575571E-2</v>
      </c>
      <c r="R92"/>
    </row>
    <row r="93" spans="1:27" x14ac:dyDescent="0.2">
      <c r="A93" s="3" t="str">
        <f t="shared" si="10"/>
        <v>20207</v>
      </c>
      <c r="B93" s="49">
        <f t="shared" si="11"/>
        <v>2020</v>
      </c>
      <c r="C93" s="52">
        <v>44043</v>
      </c>
      <c r="D93" s="53">
        <f>+Inputs!D93</f>
        <v>25628770.52</v>
      </c>
      <c r="E93" s="201">
        <v>1.24</v>
      </c>
      <c r="F93" s="201">
        <v>140.78500000000003</v>
      </c>
      <c r="G93" s="53">
        <f>+Inputs!G93</f>
        <v>31</v>
      </c>
      <c r="H93" s="105">
        <f t="shared" si="13"/>
        <v>0</v>
      </c>
      <c r="I93" s="53">
        <f>+Inputs!I93</f>
        <v>352</v>
      </c>
      <c r="J93" s="258">
        <v>1</v>
      </c>
      <c r="K93" s="257">
        <v>0</v>
      </c>
      <c r="L93" s="53">
        <f>+Inputs!J93</f>
        <v>0</v>
      </c>
      <c r="M93" s="53">
        <f>+Inputs!M93</f>
        <v>91</v>
      </c>
      <c r="N93" s="53">
        <f t="shared" si="12"/>
        <v>23717073.383143738</v>
      </c>
      <c r="O93" s="37">
        <f t="shared" si="7"/>
        <v>-1911697.1368562616</v>
      </c>
      <c r="P93" s="45">
        <f t="shared" si="8"/>
        <v>-7.4591839486190914E-2</v>
      </c>
      <c r="Q93" s="12">
        <f t="shared" si="9"/>
        <v>7.4591839486190914E-2</v>
      </c>
      <c r="R93"/>
    </row>
    <row r="94" spans="1:27" x14ac:dyDescent="0.2">
      <c r="A94" s="3" t="str">
        <f t="shared" si="10"/>
        <v>20208</v>
      </c>
      <c r="B94" s="49">
        <f t="shared" si="11"/>
        <v>2020</v>
      </c>
      <c r="C94" s="52">
        <v>44074</v>
      </c>
      <c r="D94" s="53">
        <f>+Inputs!D94</f>
        <v>23467038.809999999</v>
      </c>
      <c r="E94" s="201">
        <v>3.5549999999999997</v>
      </c>
      <c r="F94" s="201">
        <v>122.37</v>
      </c>
      <c r="G94" s="53">
        <f>+Inputs!G94</f>
        <v>31</v>
      </c>
      <c r="H94" s="105">
        <f t="shared" si="13"/>
        <v>0</v>
      </c>
      <c r="I94" s="53">
        <f>+Inputs!I94</f>
        <v>336</v>
      </c>
      <c r="J94" s="258">
        <v>1</v>
      </c>
      <c r="K94" s="257">
        <v>0</v>
      </c>
      <c r="L94" s="53">
        <f>+Inputs!J94</f>
        <v>0</v>
      </c>
      <c r="M94" s="53">
        <f>+Inputs!M94</f>
        <v>92</v>
      </c>
      <c r="N94" s="53">
        <f t="shared" si="12"/>
        <v>23116995.539328482</v>
      </c>
      <c r="O94" s="37">
        <f t="shared" si="7"/>
        <v>-350043.27067151666</v>
      </c>
      <c r="P94" s="45">
        <f t="shared" si="8"/>
        <v>-1.4916380098299955E-2</v>
      </c>
      <c r="Q94" s="12">
        <f t="shared" si="9"/>
        <v>1.4916380098299955E-2</v>
      </c>
      <c r="R94"/>
    </row>
    <row r="95" spans="1:27" x14ac:dyDescent="0.2">
      <c r="A95" s="3" t="str">
        <f t="shared" si="10"/>
        <v>20209</v>
      </c>
      <c r="B95" s="49">
        <f t="shared" si="11"/>
        <v>2020</v>
      </c>
      <c r="C95" s="52">
        <v>44104</v>
      </c>
      <c r="D95" s="53">
        <f>+Inputs!D95</f>
        <v>20269648.150000002</v>
      </c>
      <c r="E95" s="201">
        <v>44.225000000000009</v>
      </c>
      <c r="F95" s="201">
        <v>50.904999999999987</v>
      </c>
      <c r="G95" s="53">
        <f>+Inputs!G95</f>
        <v>30</v>
      </c>
      <c r="H95" s="105">
        <f t="shared" si="13"/>
        <v>0.33333333333333331</v>
      </c>
      <c r="I95" s="53">
        <f>+Inputs!I95</f>
        <v>336</v>
      </c>
      <c r="J95" s="258">
        <v>1</v>
      </c>
      <c r="K95" s="257">
        <v>0</v>
      </c>
      <c r="L95" s="53">
        <f>+Inputs!J95</f>
        <v>0</v>
      </c>
      <c r="M95" s="53">
        <f>+Inputs!M95</f>
        <v>93</v>
      </c>
      <c r="N95" s="53">
        <f t="shared" si="12"/>
        <v>21026060.399174575</v>
      </c>
      <c r="O95" s="37">
        <f t="shared" si="7"/>
        <v>756412.24917457253</v>
      </c>
      <c r="P95" s="45">
        <f t="shared" si="8"/>
        <v>3.7317482946766019E-2</v>
      </c>
      <c r="Q95" s="12">
        <f t="shared" si="9"/>
        <v>3.7317482946766019E-2</v>
      </c>
      <c r="R95"/>
    </row>
    <row r="96" spans="1:27" x14ac:dyDescent="0.2">
      <c r="A96" s="3" t="str">
        <f t="shared" si="10"/>
        <v>202010</v>
      </c>
      <c r="B96" s="49">
        <f t="shared" si="11"/>
        <v>2020</v>
      </c>
      <c r="C96" s="52">
        <v>44135</v>
      </c>
      <c r="D96" s="53">
        <f>+Inputs!D96</f>
        <v>21294106.91</v>
      </c>
      <c r="E96" s="201">
        <v>222.22000000000003</v>
      </c>
      <c r="F96" s="201">
        <v>3.3</v>
      </c>
      <c r="G96" s="53">
        <f>+Inputs!G96</f>
        <v>31</v>
      </c>
      <c r="H96" s="105">
        <f t="shared" si="13"/>
        <v>1</v>
      </c>
      <c r="I96" s="53">
        <f>+Inputs!I96</f>
        <v>336</v>
      </c>
      <c r="J96" s="258">
        <v>1</v>
      </c>
      <c r="K96" s="257">
        <v>0</v>
      </c>
      <c r="L96" s="53">
        <f>+Inputs!J96</f>
        <v>0</v>
      </c>
      <c r="M96" s="53">
        <f>+Inputs!M96</f>
        <v>94</v>
      </c>
      <c r="N96" s="53">
        <f t="shared" si="12"/>
        <v>20972796.486890841</v>
      </c>
      <c r="O96" s="37">
        <f t="shared" si="7"/>
        <v>-321310.42310915887</v>
      </c>
      <c r="P96" s="45">
        <f t="shared" si="8"/>
        <v>-1.5089171124536204E-2</v>
      </c>
      <c r="Q96" s="12">
        <f t="shared" si="9"/>
        <v>1.5089171124536204E-2</v>
      </c>
      <c r="R96"/>
    </row>
    <row r="97" spans="1:18" x14ac:dyDescent="0.2">
      <c r="A97" s="3" t="str">
        <f t="shared" si="10"/>
        <v>202011</v>
      </c>
      <c r="B97" s="49">
        <f t="shared" si="11"/>
        <v>2020</v>
      </c>
      <c r="C97" s="52">
        <v>44165</v>
      </c>
      <c r="D97" s="53">
        <f>+Inputs!D97</f>
        <v>21744994.359999999</v>
      </c>
      <c r="E97" s="201">
        <v>420.84500000000008</v>
      </c>
      <c r="F97" s="201">
        <v>0.09</v>
      </c>
      <c r="G97" s="53">
        <f>+Inputs!G97</f>
        <v>30</v>
      </c>
      <c r="H97" s="105">
        <f t="shared" si="13"/>
        <v>1</v>
      </c>
      <c r="I97" s="53">
        <f>+Inputs!I97</f>
        <v>336</v>
      </c>
      <c r="J97" s="258">
        <v>1</v>
      </c>
      <c r="K97" s="257">
        <v>0</v>
      </c>
      <c r="L97" s="53">
        <f>+Inputs!J97</f>
        <v>0</v>
      </c>
      <c r="M97" s="53">
        <f>+Inputs!M97</f>
        <v>95</v>
      </c>
      <c r="N97" s="53">
        <f t="shared" si="12"/>
        <v>21634536.162857592</v>
      </c>
      <c r="O97" s="37">
        <f t="shared" si="7"/>
        <v>-110458.1971424073</v>
      </c>
      <c r="P97" s="45">
        <f t="shared" si="8"/>
        <v>-5.0797068655761791E-3</v>
      </c>
      <c r="Q97" s="12">
        <f t="shared" si="9"/>
        <v>5.0797068655761791E-3</v>
      </c>
      <c r="R97"/>
    </row>
    <row r="98" spans="1:18" x14ac:dyDescent="0.2">
      <c r="A98" s="3" t="str">
        <f t="shared" si="10"/>
        <v>202012</v>
      </c>
      <c r="B98" s="49">
        <f t="shared" si="11"/>
        <v>2020</v>
      </c>
      <c r="C98" s="52">
        <v>44196</v>
      </c>
      <c r="D98" s="53">
        <f>+Inputs!D98</f>
        <v>23632657.099999998</v>
      </c>
      <c r="E98" s="201">
        <v>579.06000000000006</v>
      </c>
      <c r="F98" s="201">
        <v>0</v>
      </c>
      <c r="G98" s="53">
        <f>+Inputs!G98</f>
        <v>31</v>
      </c>
      <c r="H98" s="105">
        <f t="shared" si="13"/>
        <v>0.66666666666666663</v>
      </c>
      <c r="I98" s="53">
        <f>+Inputs!I98</f>
        <v>336</v>
      </c>
      <c r="J98" s="258">
        <v>1</v>
      </c>
      <c r="K98" s="257">
        <v>0</v>
      </c>
      <c r="L98" s="53">
        <f>+Inputs!J98</f>
        <v>0</v>
      </c>
      <c r="M98" s="53">
        <f>+Inputs!M98</f>
        <v>96</v>
      </c>
      <c r="N98" s="53">
        <f t="shared" si="12"/>
        <v>23159916.354406707</v>
      </c>
      <c r="O98" s="37">
        <f t="shared" si="7"/>
        <v>-472740.74559329078</v>
      </c>
      <c r="P98" s="45">
        <f t="shared" si="8"/>
        <v>-2.0003706887165507E-2</v>
      </c>
      <c r="Q98" s="12">
        <f t="shared" si="9"/>
        <v>2.0003706887165507E-2</v>
      </c>
      <c r="R98"/>
    </row>
    <row r="99" spans="1:18" x14ac:dyDescent="0.2">
      <c r="A99" s="3" t="str">
        <f t="shared" si="10"/>
        <v>20211</v>
      </c>
      <c r="B99" s="49">
        <f t="shared" si="11"/>
        <v>2021</v>
      </c>
      <c r="C99" s="52">
        <v>44227</v>
      </c>
      <c r="D99" s="53">
        <f>+Inputs!D99</f>
        <v>23541928.949999999</v>
      </c>
      <c r="E99" s="201">
        <v>703.65</v>
      </c>
      <c r="F99" s="201">
        <v>0</v>
      </c>
      <c r="G99" s="53">
        <f>+Inputs!G99</f>
        <v>31</v>
      </c>
      <c r="H99" s="105">
        <f t="shared" si="13"/>
        <v>0</v>
      </c>
      <c r="I99" s="53">
        <f>+Inputs!I99</f>
        <v>320</v>
      </c>
      <c r="J99" s="258">
        <v>1</v>
      </c>
      <c r="K99" s="257">
        <v>0</v>
      </c>
      <c r="L99" s="53">
        <f>+Inputs!J99</f>
        <v>0</v>
      </c>
      <c r="M99" s="53">
        <f>+Inputs!M99</f>
        <v>97</v>
      </c>
      <c r="N99" s="53">
        <f t="shared" si="12"/>
        <v>24071772.811425429</v>
      </c>
      <c r="O99" s="37">
        <f t="shared" si="7"/>
        <v>529843.86142542958</v>
      </c>
      <c r="P99" s="45">
        <f t="shared" si="8"/>
        <v>2.2506391152175727E-2</v>
      </c>
      <c r="Q99" s="12">
        <f t="shared" si="9"/>
        <v>2.2506391152175727E-2</v>
      </c>
      <c r="R99"/>
    </row>
    <row r="100" spans="1:18" x14ac:dyDescent="0.2">
      <c r="A100" s="3" t="str">
        <f t="shared" si="10"/>
        <v>20212</v>
      </c>
      <c r="B100" s="49">
        <f t="shared" si="11"/>
        <v>2021</v>
      </c>
      <c r="C100" s="52">
        <v>44255</v>
      </c>
      <c r="D100" s="53">
        <f>+Inputs!D100</f>
        <v>22305481.220000003</v>
      </c>
      <c r="E100" s="201">
        <v>630.40499999999997</v>
      </c>
      <c r="F100" s="201">
        <v>0</v>
      </c>
      <c r="G100" s="53">
        <f>+Inputs!G100</f>
        <v>28</v>
      </c>
      <c r="H100" s="105">
        <f t="shared" si="13"/>
        <v>0</v>
      </c>
      <c r="I100" s="53">
        <f>+Inputs!I100</f>
        <v>304</v>
      </c>
      <c r="J100" s="258">
        <v>1</v>
      </c>
      <c r="K100" s="257">
        <v>0</v>
      </c>
      <c r="L100" s="53">
        <f>+Inputs!J100</f>
        <v>0</v>
      </c>
      <c r="M100" s="53">
        <f>+Inputs!M100</f>
        <v>98</v>
      </c>
      <c r="N100" s="53">
        <f t="shared" si="12"/>
        <v>22220062.521332443</v>
      </c>
      <c r="O100" s="37">
        <f t="shared" si="7"/>
        <v>-85418.698667559773</v>
      </c>
      <c r="P100" s="45">
        <f t="shared" si="8"/>
        <v>-3.8294936488960339E-3</v>
      </c>
      <c r="Q100" s="12">
        <f t="shared" si="9"/>
        <v>3.8294936488960339E-3</v>
      </c>
      <c r="R100"/>
    </row>
    <row r="101" spans="1:18" x14ac:dyDescent="0.2">
      <c r="A101" s="3" t="str">
        <f t="shared" si="10"/>
        <v>20213</v>
      </c>
      <c r="B101" s="49">
        <f t="shared" si="11"/>
        <v>2021</v>
      </c>
      <c r="C101" s="52">
        <v>44286</v>
      </c>
      <c r="D101" s="53">
        <f>+Inputs!D101</f>
        <v>23069807.16</v>
      </c>
      <c r="E101" s="201">
        <v>547.82999999999993</v>
      </c>
      <c r="F101" s="201">
        <v>0</v>
      </c>
      <c r="G101" s="53">
        <f>+Inputs!G101</f>
        <v>31</v>
      </c>
      <c r="H101" s="105">
        <f t="shared" si="13"/>
        <v>0.33333333333333331</v>
      </c>
      <c r="I101" s="53">
        <f>+Inputs!I101</f>
        <v>368</v>
      </c>
      <c r="J101" s="258">
        <v>1</v>
      </c>
      <c r="K101" s="257">
        <v>0</v>
      </c>
      <c r="L101" s="53">
        <f>+Inputs!J101</f>
        <v>0</v>
      </c>
      <c r="M101" s="53">
        <f>+Inputs!M101</f>
        <v>99</v>
      </c>
      <c r="N101" s="53">
        <f t="shared" si="12"/>
        <v>23558029.186222468</v>
      </c>
      <c r="O101" s="37">
        <f t="shared" si="7"/>
        <v>488222.02622246742</v>
      </c>
      <c r="P101" s="45">
        <f t="shared" si="8"/>
        <v>2.116281349195584E-2</v>
      </c>
      <c r="Q101" s="12">
        <f t="shared" si="9"/>
        <v>2.116281349195584E-2</v>
      </c>
      <c r="R101"/>
    </row>
    <row r="102" spans="1:18" x14ac:dyDescent="0.2">
      <c r="A102" s="3" t="str">
        <f t="shared" si="10"/>
        <v>20214</v>
      </c>
      <c r="B102" s="49">
        <f t="shared" si="11"/>
        <v>2021</v>
      </c>
      <c r="C102" s="52">
        <v>44316</v>
      </c>
      <c r="D102" s="53">
        <f>+Inputs!D102</f>
        <v>20252923.879999999</v>
      </c>
      <c r="E102" s="201">
        <v>338.72500000000002</v>
      </c>
      <c r="F102" s="201">
        <v>0.71000000000000008</v>
      </c>
      <c r="G102" s="53">
        <f>+Inputs!G102</f>
        <v>30</v>
      </c>
      <c r="H102" s="105">
        <f t="shared" si="13"/>
        <v>1</v>
      </c>
      <c r="I102" s="53">
        <f>+Inputs!I102</f>
        <v>336</v>
      </c>
      <c r="J102" s="258">
        <v>1</v>
      </c>
      <c r="K102" s="257">
        <v>0</v>
      </c>
      <c r="L102" s="53">
        <v>0</v>
      </c>
      <c r="M102" s="53">
        <f>+Inputs!M102</f>
        <v>100</v>
      </c>
      <c r="N102" s="53">
        <f t="shared" si="12"/>
        <v>21244864.738627855</v>
      </c>
      <c r="O102" s="37">
        <f t="shared" si="7"/>
        <v>991940.85862785578</v>
      </c>
      <c r="P102" s="45">
        <f t="shared" si="8"/>
        <v>4.8977661917122446E-2</v>
      </c>
      <c r="Q102" s="12">
        <f t="shared" si="9"/>
        <v>4.8977661917122446E-2</v>
      </c>
      <c r="R102"/>
    </row>
    <row r="103" spans="1:18" x14ac:dyDescent="0.2">
      <c r="A103" s="3" t="str">
        <f t="shared" si="10"/>
        <v>20215</v>
      </c>
      <c r="B103" s="49">
        <f t="shared" si="11"/>
        <v>2021</v>
      </c>
      <c r="C103" s="52">
        <v>44347</v>
      </c>
      <c r="D103" s="53">
        <f>+Inputs!D103</f>
        <v>20759754.799999997</v>
      </c>
      <c r="E103" s="201">
        <v>144.06</v>
      </c>
      <c r="F103" s="201">
        <v>23.914999999999999</v>
      </c>
      <c r="G103" s="53">
        <f>+Inputs!G103</f>
        <v>31</v>
      </c>
      <c r="H103" s="105">
        <f t="shared" si="13"/>
        <v>1</v>
      </c>
      <c r="I103" s="53">
        <f>+Inputs!I103</f>
        <v>320</v>
      </c>
      <c r="J103" s="258">
        <v>1</v>
      </c>
      <c r="K103" s="257">
        <v>0</v>
      </c>
      <c r="L103" s="53">
        <f>+Inputs!J103</f>
        <v>0</v>
      </c>
      <c r="M103" s="53">
        <f>+Inputs!M103</f>
        <v>101</v>
      </c>
      <c r="N103" s="53">
        <f t="shared" si="12"/>
        <v>20941558.408113554</v>
      </c>
      <c r="O103" s="37">
        <f t="shared" si="7"/>
        <v>181803.6081135571</v>
      </c>
      <c r="P103" s="45">
        <f t="shared" si="8"/>
        <v>8.7575026711566514E-3</v>
      </c>
      <c r="Q103" s="12">
        <f t="shared" si="9"/>
        <v>8.7575026711566514E-3</v>
      </c>
      <c r="R103"/>
    </row>
    <row r="104" spans="1:18" x14ac:dyDescent="0.2">
      <c r="A104" s="3" t="str">
        <f t="shared" si="10"/>
        <v>20216</v>
      </c>
      <c r="B104" s="49">
        <f t="shared" si="11"/>
        <v>2021</v>
      </c>
      <c r="C104" s="52">
        <v>44377</v>
      </c>
      <c r="D104" s="53">
        <f>+Inputs!D104</f>
        <v>22743690.300000001</v>
      </c>
      <c r="E104" s="201">
        <v>21.37</v>
      </c>
      <c r="F104" s="201">
        <v>69.710000000000008</v>
      </c>
      <c r="G104" s="53">
        <f>+Inputs!G104</f>
        <v>30</v>
      </c>
      <c r="H104" s="105">
        <f t="shared" si="13"/>
        <v>0.66666666666666663</v>
      </c>
      <c r="I104" s="53">
        <f>+Inputs!I104</f>
        <v>352</v>
      </c>
      <c r="J104" s="258">
        <v>1</v>
      </c>
      <c r="K104" s="257">
        <v>0</v>
      </c>
      <c r="L104" s="53">
        <f>+Inputs!J104</f>
        <v>0</v>
      </c>
      <c r="M104" s="53">
        <f>+Inputs!M104</f>
        <v>102</v>
      </c>
      <c r="N104" s="53">
        <f t="shared" si="12"/>
        <v>21477343.278878782</v>
      </c>
      <c r="O104" s="37">
        <f t="shared" si="7"/>
        <v>-1266347.0211212188</v>
      </c>
      <c r="P104" s="45">
        <f t="shared" si="8"/>
        <v>-5.5679047877345511E-2</v>
      </c>
      <c r="Q104" s="12">
        <f t="shared" si="9"/>
        <v>5.5679047877345511E-2</v>
      </c>
      <c r="R104"/>
    </row>
    <row r="105" spans="1:18" x14ac:dyDescent="0.2">
      <c r="A105" s="3" t="str">
        <f t="shared" si="10"/>
        <v>20217</v>
      </c>
      <c r="B105" s="49">
        <f t="shared" si="11"/>
        <v>2021</v>
      </c>
      <c r="C105" s="52">
        <v>44408</v>
      </c>
      <c r="D105" s="53">
        <f>+Inputs!D105</f>
        <v>23381044.989999998</v>
      </c>
      <c r="E105" s="201">
        <v>1.24</v>
      </c>
      <c r="F105" s="201">
        <v>140.78500000000003</v>
      </c>
      <c r="G105" s="53">
        <f>+Inputs!G105</f>
        <v>31</v>
      </c>
      <c r="H105" s="105">
        <f t="shared" si="13"/>
        <v>0</v>
      </c>
      <c r="I105" s="53">
        <f>+Inputs!I105</f>
        <v>336</v>
      </c>
      <c r="J105" s="258">
        <v>1</v>
      </c>
      <c r="K105" s="257">
        <v>0</v>
      </c>
      <c r="L105" s="53">
        <f>+Inputs!J105</f>
        <v>0</v>
      </c>
      <c r="M105" s="53">
        <f>+Inputs!M105</f>
        <v>103</v>
      </c>
      <c r="N105" s="53">
        <f t="shared" si="12"/>
        <v>23704894.411494818</v>
      </c>
      <c r="O105" s="37">
        <f t="shared" si="7"/>
        <v>323849.42149481922</v>
      </c>
      <c r="P105" s="45">
        <f t="shared" si="8"/>
        <v>1.3850938725507292E-2</v>
      </c>
      <c r="Q105" s="12">
        <f t="shared" si="9"/>
        <v>1.3850938725507292E-2</v>
      </c>
      <c r="R105"/>
    </row>
    <row r="106" spans="1:18" x14ac:dyDescent="0.2">
      <c r="A106" s="3" t="str">
        <f t="shared" si="10"/>
        <v>20218</v>
      </c>
      <c r="B106" s="49">
        <f t="shared" si="11"/>
        <v>2021</v>
      </c>
      <c r="C106" s="52">
        <v>44439</v>
      </c>
      <c r="D106" s="53">
        <f>+Inputs!D106</f>
        <v>25116099.290000003</v>
      </c>
      <c r="E106" s="201">
        <v>3.5549999999999997</v>
      </c>
      <c r="F106" s="201">
        <v>122.37</v>
      </c>
      <c r="G106" s="53">
        <f>+Inputs!G106</f>
        <v>31</v>
      </c>
      <c r="H106" s="105">
        <f t="shared" si="13"/>
        <v>0</v>
      </c>
      <c r="I106" s="53">
        <f>+Inputs!I106</f>
        <v>352</v>
      </c>
      <c r="J106" s="258">
        <v>1</v>
      </c>
      <c r="K106" s="257">
        <v>0</v>
      </c>
      <c r="L106" s="53">
        <f>+Inputs!J106</f>
        <v>0</v>
      </c>
      <c r="M106" s="53">
        <f>+Inputs!M106</f>
        <v>104</v>
      </c>
      <c r="N106" s="53">
        <f t="shared" si="12"/>
        <v>23462881.718802858</v>
      </c>
      <c r="O106" s="37">
        <f t="shared" si="7"/>
        <v>-1653217.5711971447</v>
      </c>
      <c r="P106" s="45">
        <f t="shared" si="8"/>
        <v>-6.5823022600303815E-2</v>
      </c>
      <c r="Q106" s="12">
        <f t="shared" si="9"/>
        <v>6.5823022600303815E-2</v>
      </c>
      <c r="R106"/>
    </row>
    <row r="107" spans="1:18" x14ac:dyDescent="0.2">
      <c r="A107" s="3" t="str">
        <f t="shared" si="10"/>
        <v>20219</v>
      </c>
      <c r="B107" s="49">
        <f t="shared" si="11"/>
        <v>2021</v>
      </c>
      <c r="C107" s="52">
        <v>44469</v>
      </c>
      <c r="D107" s="53">
        <f>+Inputs!D107</f>
        <v>20640267.599999998</v>
      </c>
      <c r="E107" s="201">
        <v>44.225000000000009</v>
      </c>
      <c r="F107" s="201">
        <v>50.904999999999987</v>
      </c>
      <c r="G107" s="53">
        <f>+Inputs!G107</f>
        <v>30</v>
      </c>
      <c r="H107" s="105">
        <f t="shared" si="13"/>
        <v>0.33333333333333331</v>
      </c>
      <c r="I107" s="53">
        <f>+Inputs!I107</f>
        <v>336</v>
      </c>
      <c r="J107" s="258">
        <v>1</v>
      </c>
      <c r="K107" s="257">
        <v>0</v>
      </c>
      <c r="L107" s="53">
        <f>+Inputs!J107</f>
        <v>0</v>
      </c>
      <c r="M107" s="53">
        <f>+Inputs!M107</f>
        <v>105</v>
      </c>
      <c r="N107" s="53">
        <f t="shared" si="12"/>
        <v>21192914.003087305</v>
      </c>
      <c r="O107" s="37">
        <f t="shared" si="7"/>
        <v>552646.40308730677</v>
      </c>
      <c r="P107" s="45">
        <f t="shared" si="8"/>
        <v>2.6775156882525439E-2</v>
      </c>
      <c r="Q107" s="12">
        <f t="shared" si="9"/>
        <v>2.6775156882525439E-2</v>
      </c>
      <c r="R107"/>
    </row>
    <row r="108" spans="1:18" x14ac:dyDescent="0.2">
      <c r="A108" s="3" t="str">
        <f t="shared" si="10"/>
        <v>202110</v>
      </c>
      <c r="B108" s="49">
        <f t="shared" si="11"/>
        <v>2021</v>
      </c>
      <c r="C108" s="52">
        <v>44500</v>
      </c>
      <c r="D108" s="53">
        <f>+Inputs!D108</f>
        <v>21195541.040000003</v>
      </c>
      <c r="E108" s="201">
        <v>222.22000000000003</v>
      </c>
      <c r="F108" s="201">
        <v>3.3</v>
      </c>
      <c r="G108" s="53">
        <f>+Inputs!G108</f>
        <v>31</v>
      </c>
      <c r="H108" s="105">
        <f t="shared" si="13"/>
        <v>1</v>
      </c>
      <c r="I108" s="53">
        <f>+Inputs!I108</f>
        <v>320</v>
      </c>
      <c r="J108" s="258">
        <v>1</v>
      </c>
      <c r="K108" s="257">
        <v>0</v>
      </c>
      <c r="L108" s="53">
        <f>+Inputs!J108</f>
        <v>0</v>
      </c>
      <c r="M108" s="53">
        <f>+Inputs!M108</f>
        <v>106</v>
      </c>
      <c r="N108" s="53">
        <f t="shared" si="12"/>
        <v>20960617.515241921</v>
      </c>
      <c r="O108" s="37">
        <f t="shared" si="7"/>
        <v>-234923.52475808188</v>
      </c>
      <c r="P108" s="45">
        <f t="shared" si="8"/>
        <v>-1.1083629538624972E-2</v>
      </c>
      <c r="Q108" s="12">
        <f t="shared" si="9"/>
        <v>1.1083629538624972E-2</v>
      </c>
      <c r="R108"/>
    </row>
    <row r="109" spans="1:18" x14ac:dyDescent="0.2">
      <c r="A109" s="3" t="str">
        <f t="shared" si="10"/>
        <v>202111</v>
      </c>
      <c r="B109" s="49">
        <f t="shared" si="11"/>
        <v>2021</v>
      </c>
      <c r="C109" s="52">
        <v>44530</v>
      </c>
      <c r="D109" s="53">
        <f>+Inputs!D109</f>
        <v>22402599.130000003</v>
      </c>
      <c r="E109" s="201">
        <v>420.84500000000008</v>
      </c>
      <c r="F109" s="201">
        <v>0.09</v>
      </c>
      <c r="G109" s="53">
        <f>+Inputs!G109</f>
        <v>30</v>
      </c>
      <c r="H109" s="105">
        <f t="shared" si="13"/>
        <v>1</v>
      </c>
      <c r="I109" s="53">
        <f>+Inputs!I109</f>
        <v>352</v>
      </c>
      <c r="J109" s="258">
        <v>1</v>
      </c>
      <c r="K109" s="257">
        <v>0</v>
      </c>
      <c r="L109" s="53">
        <f>+Inputs!J109</f>
        <v>0</v>
      </c>
      <c r="M109" s="53">
        <f>+Inputs!M109</f>
        <v>107</v>
      </c>
      <c r="N109" s="53">
        <f t="shared" si="12"/>
        <v>21980422.342331968</v>
      </c>
      <c r="O109" s="37">
        <f t="shared" si="7"/>
        <v>-422176.78766803443</v>
      </c>
      <c r="P109" s="45">
        <f t="shared" si="8"/>
        <v>-1.8844991387748606E-2</v>
      </c>
      <c r="Q109" s="12">
        <f t="shared" si="9"/>
        <v>1.8844991387748606E-2</v>
      </c>
      <c r="R109"/>
    </row>
    <row r="110" spans="1:18" x14ac:dyDescent="0.2">
      <c r="A110" s="3" t="str">
        <f t="shared" si="10"/>
        <v>202112</v>
      </c>
      <c r="B110" s="49">
        <f t="shared" si="11"/>
        <v>2021</v>
      </c>
      <c r="C110" s="52">
        <v>44561</v>
      </c>
      <c r="D110" s="53">
        <f>+Inputs!D110</f>
        <v>23318783.640000001</v>
      </c>
      <c r="E110" s="201">
        <v>579.06000000000006</v>
      </c>
      <c r="F110" s="201">
        <v>0</v>
      </c>
      <c r="G110" s="53">
        <f>+Inputs!G110</f>
        <v>31</v>
      </c>
      <c r="H110" s="105">
        <f t="shared" si="13"/>
        <v>0.66666666666666663</v>
      </c>
      <c r="I110" s="53">
        <f>+Inputs!I110</f>
        <v>336</v>
      </c>
      <c r="J110" s="258">
        <v>1</v>
      </c>
      <c r="K110" s="257">
        <v>0</v>
      </c>
      <c r="L110" s="53">
        <f>+Inputs!J110</f>
        <v>0</v>
      </c>
      <c r="M110" s="53">
        <f>+Inputs!M110</f>
        <v>108</v>
      </c>
      <c r="N110" s="53">
        <f t="shared" si="12"/>
        <v>23326769.958319437</v>
      </c>
      <c r="O110" s="37">
        <f t="shared" si="7"/>
        <v>7986.3183194361627</v>
      </c>
      <c r="P110" s="45">
        <f t="shared" si="8"/>
        <v>3.4248434406916443E-4</v>
      </c>
      <c r="Q110" s="12">
        <f t="shared" si="9"/>
        <v>3.4248434406916443E-4</v>
      </c>
      <c r="R110"/>
    </row>
    <row r="111" spans="1:18" x14ac:dyDescent="0.2">
      <c r="A111" s="3" t="str">
        <f t="shared" si="10"/>
        <v>20221</v>
      </c>
      <c r="B111" s="49">
        <f t="shared" si="11"/>
        <v>2022</v>
      </c>
      <c r="C111" s="52">
        <v>44592</v>
      </c>
      <c r="D111" s="53">
        <f>+Inputs!D111</f>
        <v>25489220.849999998</v>
      </c>
      <c r="E111" s="201">
        <v>703.65</v>
      </c>
      <c r="F111" s="201">
        <v>0</v>
      </c>
      <c r="G111" s="53">
        <f>+Inputs!G111</f>
        <v>31</v>
      </c>
      <c r="H111" s="105">
        <f t="shared" si="13"/>
        <v>0</v>
      </c>
      <c r="I111" s="53">
        <f>+Inputs!I111</f>
        <v>320</v>
      </c>
      <c r="J111" s="257">
        <v>0</v>
      </c>
      <c r="K111" s="258">
        <v>1</v>
      </c>
      <c r="L111" s="53">
        <f>+Inputs!J111</f>
        <v>0</v>
      </c>
      <c r="M111" s="53">
        <f>+Inputs!M111</f>
        <v>109</v>
      </c>
      <c r="N111" s="53">
        <f t="shared" si="12"/>
        <v>24683482.839292467</v>
      </c>
      <c r="O111" s="37">
        <f t="shared" si="7"/>
        <v>-805738.01070753112</v>
      </c>
      <c r="P111" s="45">
        <f t="shared" si="8"/>
        <v>-3.1610931359933321E-2</v>
      </c>
      <c r="Q111" s="12">
        <f t="shared" si="9"/>
        <v>3.1610931359933321E-2</v>
      </c>
      <c r="R111"/>
    </row>
    <row r="112" spans="1:18" x14ac:dyDescent="0.2">
      <c r="A112" s="3" t="str">
        <f t="shared" si="10"/>
        <v>20222</v>
      </c>
      <c r="B112" s="49">
        <f t="shared" si="11"/>
        <v>2022</v>
      </c>
      <c r="C112" s="52">
        <v>44620</v>
      </c>
      <c r="D112" s="53">
        <f>+Inputs!D112</f>
        <v>23005811.43</v>
      </c>
      <c r="E112" s="201">
        <v>630.40499999999997</v>
      </c>
      <c r="F112" s="201">
        <v>0</v>
      </c>
      <c r="G112" s="53">
        <f>+Inputs!G112</f>
        <v>28</v>
      </c>
      <c r="H112" s="105">
        <f t="shared" si="13"/>
        <v>0</v>
      </c>
      <c r="I112" s="53">
        <f>+Inputs!I112</f>
        <v>304</v>
      </c>
      <c r="J112" s="257">
        <v>0</v>
      </c>
      <c r="K112" s="258">
        <v>1</v>
      </c>
      <c r="L112" s="53">
        <f>+Inputs!J112</f>
        <v>0</v>
      </c>
      <c r="M112" s="53">
        <f>+Inputs!M112</f>
        <v>110</v>
      </c>
      <c r="N112" s="53">
        <f t="shared" si="12"/>
        <v>22831772.549199481</v>
      </c>
      <c r="O112" s="37">
        <f t="shared" si="7"/>
        <v>-174038.88080051914</v>
      </c>
      <c r="P112" s="45">
        <f t="shared" si="8"/>
        <v>-7.5649964066718048E-3</v>
      </c>
      <c r="Q112" s="12">
        <f t="shared" si="9"/>
        <v>7.5649964066718048E-3</v>
      </c>
      <c r="R112"/>
    </row>
    <row r="113" spans="1:18" x14ac:dyDescent="0.2">
      <c r="A113" s="3" t="str">
        <f t="shared" si="10"/>
        <v>20223</v>
      </c>
      <c r="B113" s="49">
        <f t="shared" si="11"/>
        <v>2022</v>
      </c>
      <c r="C113" s="52">
        <v>44651</v>
      </c>
      <c r="D113" s="53">
        <f>+Inputs!D113</f>
        <v>24103482.41</v>
      </c>
      <c r="E113" s="201">
        <v>547.82999999999993</v>
      </c>
      <c r="F113" s="201">
        <v>0</v>
      </c>
      <c r="G113" s="53">
        <f>+Inputs!G113</f>
        <v>31</v>
      </c>
      <c r="H113" s="105">
        <f t="shared" si="13"/>
        <v>0.33333333333333331</v>
      </c>
      <c r="I113" s="53">
        <f>+Inputs!I113</f>
        <v>368</v>
      </c>
      <c r="J113" s="257">
        <v>0</v>
      </c>
      <c r="K113" s="258">
        <v>1</v>
      </c>
      <c r="L113" s="53">
        <f>+Inputs!J113</f>
        <v>0</v>
      </c>
      <c r="M113" s="53">
        <f>+Inputs!M113</f>
        <v>111</v>
      </c>
      <c r="N113" s="53">
        <f t="shared" si="12"/>
        <v>24169739.214089509</v>
      </c>
      <c r="O113" s="37">
        <f t="shared" si="7"/>
        <v>66256.804089508951</v>
      </c>
      <c r="P113" s="45">
        <f t="shared" si="8"/>
        <v>2.7488477790255103E-3</v>
      </c>
      <c r="Q113" s="12">
        <f t="shared" si="9"/>
        <v>2.7488477790255103E-3</v>
      </c>
      <c r="R113"/>
    </row>
    <row r="114" spans="1:18" x14ac:dyDescent="0.2">
      <c r="A114" s="3" t="str">
        <f t="shared" si="10"/>
        <v>20224</v>
      </c>
      <c r="B114" s="49">
        <f t="shared" si="11"/>
        <v>2022</v>
      </c>
      <c r="C114" s="52">
        <v>44681</v>
      </c>
      <c r="D114" s="53">
        <f>+Inputs!D114</f>
        <v>21054165.982828289</v>
      </c>
      <c r="E114" s="201">
        <v>338.72500000000002</v>
      </c>
      <c r="F114" s="201">
        <v>0.71000000000000008</v>
      </c>
      <c r="G114" s="53">
        <f>+Inputs!G114</f>
        <v>30</v>
      </c>
      <c r="H114" s="105">
        <f t="shared" si="13"/>
        <v>1</v>
      </c>
      <c r="I114" s="53">
        <f>+Inputs!I114</f>
        <v>320</v>
      </c>
      <c r="J114" s="257">
        <v>0</v>
      </c>
      <c r="K114" s="258">
        <v>1</v>
      </c>
      <c r="L114" s="53">
        <f>+Inputs!J114</f>
        <v>0</v>
      </c>
      <c r="M114" s="53">
        <f>+Inputs!M114</f>
        <v>112</v>
      </c>
      <c r="N114" s="53">
        <f t="shared" si="12"/>
        <v>21677542.190933246</v>
      </c>
      <c r="O114" s="37">
        <f t="shared" si="7"/>
        <v>623376.2081049569</v>
      </c>
      <c r="P114" s="45">
        <f t="shared" si="8"/>
        <v>2.9608211914610178E-2</v>
      </c>
      <c r="Q114" s="12">
        <f t="shared" si="9"/>
        <v>2.9608211914610178E-2</v>
      </c>
      <c r="R114"/>
    </row>
    <row r="115" spans="1:18" x14ac:dyDescent="0.2">
      <c r="A115" s="3" t="str">
        <f t="shared" si="10"/>
        <v>20225</v>
      </c>
      <c r="B115" s="49">
        <f t="shared" si="11"/>
        <v>2022</v>
      </c>
      <c r="C115" s="52">
        <v>44712</v>
      </c>
      <c r="D115" s="53">
        <f>+Inputs!D115</f>
        <v>21880073.671260841</v>
      </c>
      <c r="E115" s="201">
        <v>144.06</v>
      </c>
      <c r="F115" s="201">
        <v>23.914999999999999</v>
      </c>
      <c r="G115" s="53">
        <f>+Inputs!G115</f>
        <v>31</v>
      </c>
      <c r="H115" s="105">
        <f t="shared" si="13"/>
        <v>1</v>
      </c>
      <c r="I115" s="53">
        <f>+Inputs!I115</f>
        <v>336</v>
      </c>
      <c r="J115" s="257">
        <v>0</v>
      </c>
      <c r="K115" s="258">
        <v>1</v>
      </c>
      <c r="L115" s="53">
        <f>+Inputs!J115</f>
        <v>0</v>
      </c>
      <c r="M115" s="53">
        <f>+Inputs!M115</f>
        <v>113</v>
      </c>
      <c r="N115" s="53">
        <f t="shared" si="12"/>
        <v>21732301.011542238</v>
      </c>
      <c r="O115" s="37">
        <f t="shared" si="7"/>
        <v>-147772.6597186029</v>
      </c>
      <c r="P115" s="45">
        <f t="shared" si="8"/>
        <v>-6.7537551261858926E-3</v>
      </c>
      <c r="Q115" s="12">
        <f t="shared" si="9"/>
        <v>6.7537551261858926E-3</v>
      </c>
      <c r="R115"/>
    </row>
    <row r="116" spans="1:18" x14ac:dyDescent="0.2">
      <c r="A116" s="3" t="str">
        <f t="shared" si="10"/>
        <v>20226</v>
      </c>
      <c r="B116" s="49">
        <f t="shared" si="11"/>
        <v>2022</v>
      </c>
      <c r="C116" s="52">
        <v>44742</v>
      </c>
      <c r="D116" s="53">
        <f>+Inputs!D116</f>
        <v>22588251.5</v>
      </c>
      <c r="E116" s="201">
        <v>21.37</v>
      </c>
      <c r="F116" s="201">
        <v>69.710000000000008</v>
      </c>
      <c r="G116" s="53">
        <f>+Inputs!G116</f>
        <v>30</v>
      </c>
      <c r="H116" s="105">
        <f t="shared" si="13"/>
        <v>0.66666666666666663</v>
      </c>
      <c r="I116" s="53">
        <f>+Inputs!I116</f>
        <v>352</v>
      </c>
      <c r="J116" s="257">
        <v>0</v>
      </c>
      <c r="K116" s="258">
        <v>1</v>
      </c>
      <c r="L116" s="53">
        <f>+Inputs!J116</f>
        <v>0</v>
      </c>
      <c r="M116" s="53">
        <f>+Inputs!M116</f>
        <v>114</v>
      </c>
      <c r="N116" s="53">
        <f t="shared" si="12"/>
        <v>22089053.306745823</v>
      </c>
      <c r="O116" s="37">
        <f t="shared" si="7"/>
        <v>-499198.19325417653</v>
      </c>
      <c r="P116" s="45">
        <f t="shared" si="8"/>
        <v>-2.2099904158326578E-2</v>
      </c>
      <c r="Q116" s="12">
        <f t="shared" si="9"/>
        <v>2.2099904158326578E-2</v>
      </c>
      <c r="R116"/>
    </row>
    <row r="117" spans="1:18" x14ac:dyDescent="0.2">
      <c r="A117" s="3" t="str">
        <f t="shared" si="10"/>
        <v>20227</v>
      </c>
      <c r="B117" s="49">
        <f t="shared" si="11"/>
        <v>2022</v>
      </c>
      <c r="C117" s="52">
        <v>44773</v>
      </c>
      <c r="D117" s="53">
        <f>+Inputs!D117</f>
        <v>24276339.489999998</v>
      </c>
      <c r="E117" s="201">
        <v>1.24</v>
      </c>
      <c r="F117" s="201">
        <v>140.78500000000003</v>
      </c>
      <c r="G117" s="53">
        <f>+Inputs!G117</f>
        <v>31</v>
      </c>
      <c r="H117" s="105">
        <f t="shared" si="13"/>
        <v>0</v>
      </c>
      <c r="I117" s="53">
        <f>+Inputs!I117</f>
        <v>320</v>
      </c>
      <c r="J117" s="257">
        <v>0</v>
      </c>
      <c r="K117" s="258">
        <v>1</v>
      </c>
      <c r="L117" s="53">
        <f>+Inputs!J117</f>
        <v>0</v>
      </c>
      <c r="M117" s="53">
        <f>+Inputs!M117</f>
        <v>115</v>
      </c>
      <c r="N117" s="53">
        <f t="shared" si="12"/>
        <v>24137571.863800216</v>
      </c>
      <c r="O117" s="37">
        <f t="shared" si="7"/>
        <v>-138767.62619978189</v>
      </c>
      <c r="P117" s="45">
        <f t="shared" si="8"/>
        <v>-5.7161676395629411E-3</v>
      </c>
      <c r="Q117" s="12">
        <f t="shared" si="9"/>
        <v>5.7161676395629411E-3</v>
      </c>
      <c r="R117"/>
    </row>
    <row r="118" spans="1:18" x14ac:dyDescent="0.2">
      <c r="A118" s="3" t="str">
        <f t="shared" si="10"/>
        <v>20228</v>
      </c>
      <c r="B118" s="49">
        <f t="shared" si="11"/>
        <v>2022</v>
      </c>
      <c r="C118" s="52">
        <v>44804</v>
      </c>
      <c r="D118" s="53">
        <f>+Inputs!D118</f>
        <v>24568812.140000001</v>
      </c>
      <c r="E118" s="201">
        <v>3.5549999999999997</v>
      </c>
      <c r="F118" s="201">
        <v>122.37</v>
      </c>
      <c r="G118" s="53">
        <f>+Inputs!G118</f>
        <v>31</v>
      </c>
      <c r="H118" s="105">
        <f t="shared" si="13"/>
        <v>0</v>
      </c>
      <c r="I118" s="53">
        <f>+Inputs!I118</f>
        <v>368</v>
      </c>
      <c r="J118" s="257">
        <v>0</v>
      </c>
      <c r="K118" s="258">
        <v>1</v>
      </c>
      <c r="L118" s="53">
        <f>+Inputs!J118</f>
        <v>0</v>
      </c>
      <c r="M118" s="53">
        <f>+Inputs!M118</f>
        <v>116</v>
      </c>
      <c r="N118" s="53">
        <f t="shared" si="12"/>
        <v>24253624.322231539</v>
      </c>
      <c r="O118" s="37">
        <f t="shared" si="7"/>
        <v>-315187.817768462</v>
      </c>
      <c r="P118" s="45">
        <f t="shared" si="8"/>
        <v>-1.2828777230760412E-2</v>
      </c>
      <c r="Q118" s="12">
        <f t="shared" si="9"/>
        <v>1.2828777230760412E-2</v>
      </c>
      <c r="R118"/>
    </row>
    <row r="119" spans="1:18" x14ac:dyDescent="0.2">
      <c r="A119" s="3" t="str">
        <f t="shared" si="10"/>
        <v>20229</v>
      </c>
      <c r="B119" s="49">
        <f t="shared" si="11"/>
        <v>2022</v>
      </c>
      <c r="C119" s="52">
        <v>44834</v>
      </c>
      <c r="D119" s="53">
        <f>+Inputs!D119</f>
        <v>21763225.319999997</v>
      </c>
      <c r="E119" s="201">
        <v>44.225000000000009</v>
      </c>
      <c r="F119" s="201">
        <v>50.904999999999987</v>
      </c>
      <c r="G119" s="53">
        <f>+Inputs!G119</f>
        <v>30</v>
      </c>
      <c r="H119" s="105">
        <f t="shared" si="13"/>
        <v>0.33333333333333331</v>
      </c>
      <c r="I119" s="53">
        <f>+Inputs!I119</f>
        <v>336</v>
      </c>
      <c r="J119" s="257">
        <v>0</v>
      </c>
      <c r="K119" s="258">
        <v>1</v>
      </c>
      <c r="L119" s="53">
        <f>+Inputs!J119</f>
        <v>0</v>
      </c>
      <c r="M119" s="53">
        <f>+Inputs!M119</f>
        <v>117</v>
      </c>
      <c r="N119" s="53">
        <f t="shared" si="12"/>
        <v>21804624.030954342</v>
      </c>
      <c r="O119" s="37">
        <f t="shared" si="7"/>
        <v>41398.710954345763</v>
      </c>
      <c r="P119" s="45">
        <f t="shared" si="8"/>
        <v>1.9022323366886765E-3</v>
      </c>
      <c r="Q119" s="12">
        <f t="shared" si="9"/>
        <v>1.9022323366886765E-3</v>
      </c>
      <c r="R119"/>
    </row>
    <row r="120" spans="1:18" x14ac:dyDescent="0.2">
      <c r="A120" s="3" t="str">
        <f t="shared" si="10"/>
        <v>202210</v>
      </c>
      <c r="B120" s="49">
        <f t="shared" si="11"/>
        <v>2022</v>
      </c>
      <c r="C120" s="52">
        <v>44865</v>
      </c>
      <c r="D120" s="53">
        <f>+Inputs!D120</f>
        <v>21332534.440000001</v>
      </c>
      <c r="E120" s="201">
        <v>222.22000000000003</v>
      </c>
      <c r="F120" s="201">
        <v>3.3</v>
      </c>
      <c r="G120" s="53">
        <f>+Inputs!G120</f>
        <v>31</v>
      </c>
      <c r="H120" s="105">
        <f t="shared" si="13"/>
        <v>1</v>
      </c>
      <c r="I120" s="53">
        <f>+Inputs!I120</f>
        <v>320</v>
      </c>
      <c r="J120" s="257">
        <v>0</v>
      </c>
      <c r="K120" s="258">
        <v>1</v>
      </c>
      <c r="L120" s="53">
        <f>+Inputs!J120</f>
        <v>0</v>
      </c>
      <c r="M120" s="53">
        <f>+Inputs!M120</f>
        <v>118</v>
      </c>
      <c r="N120" s="53">
        <f t="shared" si="12"/>
        <v>21572327.543108962</v>
      </c>
      <c r="O120" s="37">
        <f t="shared" si="7"/>
        <v>239793.10310896114</v>
      </c>
      <c r="P120" s="45">
        <f t="shared" si="8"/>
        <v>1.1240722652219523E-2</v>
      </c>
      <c r="Q120" s="12">
        <f t="shared" si="9"/>
        <v>1.1240722652219523E-2</v>
      </c>
      <c r="R120"/>
    </row>
    <row r="121" spans="1:18" x14ac:dyDescent="0.2">
      <c r="A121" s="3" t="str">
        <f t="shared" si="10"/>
        <v>202211</v>
      </c>
      <c r="B121" s="49">
        <f t="shared" si="11"/>
        <v>2022</v>
      </c>
      <c r="C121" s="52">
        <v>44895</v>
      </c>
      <c r="D121" s="53">
        <f>+Inputs!D121</f>
        <v>22267327.43</v>
      </c>
      <c r="E121" s="201">
        <v>420.84500000000008</v>
      </c>
      <c r="F121" s="201">
        <v>0.09</v>
      </c>
      <c r="G121" s="53">
        <f>+Inputs!G121</f>
        <v>30</v>
      </c>
      <c r="H121" s="105">
        <f t="shared" si="13"/>
        <v>1</v>
      </c>
      <c r="I121" s="53">
        <f>+Inputs!I121</f>
        <v>352</v>
      </c>
      <c r="J121" s="257">
        <v>0</v>
      </c>
      <c r="K121" s="258">
        <v>1</v>
      </c>
      <c r="L121" s="53">
        <f>+Inputs!J121</f>
        <v>0</v>
      </c>
      <c r="M121" s="53">
        <f>+Inputs!M121</f>
        <v>119</v>
      </c>
      <c r="N121" s="53">
        <f t="shared" si="12"/>
        <v>22592132.370199006</v>
      </c>
      <c r="O121" s="37">
        <f t="shared" si="7"/>
        <v>324804.94019900635</v>
      </c>
      <c r="P121" s="45">
        <f t="shared" si="8"/>
        <v>1.4586615354719574E-2</v>
      </c>
      <c r="Q121" s="12">
        <f t="shared" si="9"/>
        <v>1.4586615354719574E-2</v>
      </c>
      <c r="R121"/>
    </row>
    <row r="122" spans="1:18" x14ac:dyDescent="0.2">
      <c r="A122" s="3" t="str">
        <f t="shared" si="10"/>
        <v>202212</v>
      </c>
      <c r="B122" s="49">
        <f t="shared" si="11"/>
        <v>2022</v>
      </c>
      <c r="C122" s="52">
        <v>44926</v>
      </c>
      <c r="D122" s="53">
        <f>+Inputs!D122</f>
        <v>23648226.640000001</v>
      </c>
      <c r="E122" s="201">
        <v>579.06000000000006</v>
      </c>
      <c r="F122" s="201">
        <v>0</v>
      </c>
      <c r="G122" s="53">
        <f>+Inputs!G122</f>
        <v>31</v>
      </c>
      <c r="H122" s="105">
        <f t="shared" si="13"/>
        <v>0.66666666666666663</v>
      </c>
      <c r="I122" s="53">
        <f>+Inputs!I122</f>
        <v>320</v>
      </c>
      <c r="J122" s="257">
        <v>0</v>
      </c>
      <c r="K122" s="258">
        <v>1</v>
      </c>
      <c r="L122" s="53">
        <f>+Inputs!J122</f>
        <v>0</v>
      </c>
      <c r="M122" s="53">
        <f>+Inputs!M122</f>
        <v>120</v>
      </c>
      <c r="N122" s="53">
        <f t="shared" si="12"/>
        <v>23759447.410624832</v>
      </c>
      <c r="O122" s="37">
        <f t="shared" si="7"/>
        <v>111220.77062483132</v>
      </c>
      <c r="P122" s="45">
        <f t="shared" si="8"/>
        <v>4.7031336564030543E-3</v>
      </c>
      <c r="Q122" s="12">
        <f t="shared" si="9"/>
        <v>4.7031336564030543E-3</v>
      </c>
      <c r="R122"/>
    </row>
    <row r="123" spans="1:18" x14ac:dyDescent="0.2">
      <c r="A123" s="3" t="str">
        <f t="shared" si="10"/>
        <v>20231</v>
      </c>
      <c r="B123" s="49">
        <f t="shared" si="11"/>
        <v>2023</v>
      </c>
      <c r="C123" s="52">
        <v>44957</v>
      </c>
      <c r="D123" s="201">
        <f>+Inputs!D123</f>
        <v>24583662.5</v>
      </c>
      <c r="E123" s="201">
        <v>703.65</v>
      </c>
      <c r="F123" s="201">
        <v>0</v>
      </c>
      <c r="G123" s="53">
        <f>+Inputs!G123</f>
        <v>31</v>
      </c>
      <c r="H123" s="105">
        <f t="shared" si="13"/>
        <v>0</v>
      </c>
      <c r="I123" s="53">
        <f>+Inputs!I123</f>
        <v>336</v>
      </c>
      <c r="J123" s="257">
        <v>0</v>
      </c>
      <c r="K123" s="257">
        <v>0</v>
      </c>
      <c r="L123" s="53">
        <f>+Inputs!J123</f>
        <v>0</v>
      </c>
      <c r="M123" s="201">
        <f>+Inputs!M123</f>
        <v>121</v>
      </c>
      <c r="N123" s="53">
        <f t="shared" si="12"/>
        <v>24621899.061836503</v>
      </c>
      <c r="O123" s="37"/>
      <c r="Q123" s="5">
        <f>AVERAGE(Q3:Q122)</f>
        <v>2.4999577144486435E-2</v>
      </c>
      <c r="R123" t="s">
        <v>72</v>
      </c>
    </row>
    <row r="124" spans="1:18" x14ac:dyDescent="0.2">
      <c r="A124" s="3" t="str">
        <f t="shared" si="10"/>
        <v>20232</v>
      </c>
      <c r="B124" s="49">
        <f t="shared" si="11"/>
        <v>2023</v>
      </c>
      <c r="C124" s="52">
        <v>44985</v>
      </c>
      <c r="D124" s="201">
        <f>+Inputs!D124</f>
        <v>22002707.612050563</v>
      </c>
      <c r="E124" s="201">
        <v>630.40499999999997</v>
      </c>
      <c r="F124" s="201">
        <v>0</v>
      </c>
      <c r="G124" s="53">
        <f>+Inputs!G124</f>
        <v>28</v>
      </c>
      <c r="H124" s="105">
        <f t="shared" si="13"/>
        <v>0</v>
      </c>
      <c r="I124" s="53">
        <f>+Inputs!I124</f>
        <v>304</v>
      </c>
      <c r="J124" s="257">
        <v>0</v>
      </c>
      <c r="K124" s="257">
        <v>0</v>
      </c>
      <c r="L124" s="53">
        <f>+Inputs!J124</f>
        <v>0</v>
      </c>
      <c r="M124" s="201">
        <f>+Inputs!M124</f>
        <v>122</v>
      </c>
      <c r="N124" s="53">
        <f t="shared" si="12"/>
        <v>22591156.196181875</v>
      </c>
      <c r="O124" s="37"/>
      <c r="R124"/>
    </row>
    <row r="125" spans="1:18" x14ac:dyDescent="0.2">
      <c r="A125" s="3" t="str">
        <f t="shared" si="10"/>
        <v>20233</v>
      </c>
      <c r="B125" s="49">
        <f t="shared" si="11"/>
        <v>2023</v>
      </c>
      <c r="C125" s="52">
        <v>45016</v>
      </c>
      <c r="D125" s="201">
        <f>+Inputs!D125</f>
        <v>23768845.469999999</v>
      </c>
      <c r="E125" s="201">
        <v>547.82999999999993</v>
      </c>
      <c r="F125" s="201">
        <v>0</v>
      </c>
      <c r="G125" s="53">
        <f>+Inputs!G125</f>
        <v>31</v>
      </c>
      <c r="H125" s="105">
        <f t="shared" si="13"/>
        <v>0.33333333333333331</v>
      </c>
      <c r="I125" s="53">
        <f>+Inputs!I125</f>
        <v>368</v>
      </c>
      <c r="J125" s="257">
        <v>0</v>
      </c>
      <c r="K125" s="257">
        <v>0</v>
      </c>
      <c r="L125" s="53">
        <f>+Inputs!J125</f>
        <v>0</v>
      </c>
      <c r="M125" s="201">
        <f>+Inputs!M125</f>
        <v>123</v>
      </c>
      <c r="N125" s="53">
        <f t="shared" si="12"/>
        <v>23929122.8610719</v>
      </c>
      <c r="O125" s="37"/>
      <c r="R125"/>
    </row>
    <row r="126" spans="1:18" x14ac:dyDescent="0.2">
      <c r="A126" s="3" t="str">
        <f t="shared" si="10"/>
        <v>20234</v>
      </c>
      <c r="B126" s="49">
        <f t="shared" si="11"/>
        <v>2023</v>
      </c>
      <c r="C126" s="52">
        <v>45046</v>
      </c>
      <c r="D126" s="201">
        <f>+Inputs!D126</f>
        <v>21333713.989999998</v>
      </c>
      <c r="E126" s="201">
        <v>338.72500000000002</v>
      </c>
      <c r="F126" s="201">
        <v>0.71000000000000008</v>
      </c>
      <c r="G126" s="53">
        <f>+Inputs!G126</f>
        <v>30</v>
      </c>
      <c r="H126" s="105">
        <f t="shared" si="13"/>
        <v>1</v>
      </c>
      <c r="I126" s="53">
        <f>+Inputs!I126</f>
        <v>304</v>
      </c>
      <c r="J126" s="257">
        <v>0</v>
      </c>
      <c r="K126" s="257">
        <v>0</v>
      </c>
      <c r="L126" s="53">
        <f>+Inputs!J126</f>
        <v>0</v>
      </c>
      <c r="M126" s="201">
        <f>+Inputs!M126</f>
        <v>124</v>
      </c>
      <c r="N126" s="53">
        <f t="shared" si="12"/>
        <v>21257893.262353998</v>
      </c>
      <c r="O126" s="37"/>
      <c r="R126"/>
    </row>
    <row r="127" spans="1:18" x14ac:dyDescent="0.2">
      <c r="A127" s="3" t="str">
        <f t="shared" si="10"/>
        <v>20235</v>
      </c>
      <c r="B127" s="49">
        <f t="shared" si="11"/>
        <v>2023</v>
      </c>
      <c r="C127" s="52">
        <v>45077</v>
      </c>
      <c r="D127" s="201">
        <f>+Inputs!D127</f>
        <v>21691788.009999998</v>
      </c>
      <c r="E127" s="201">
        <v>144.06</v>
      </c>
      <c r="F127" s="201">
        <v>23.914999999999999</v>
      </c>
      <c r="G127" s="53">
        <f>+Inputs!G127</f>
        <v>31</v>
      </c>
      <c r="H127" s="105">
        <f t="shared" si="13"/>
        <v>1</v>
      </c>
      <c r="I127" s="53">
        <f>+Inputs!I127</f>
        <v>352</v>
      </c>
      <c r="J127" s="257">
        <v>0</v>
      </c>
      <c r="K127" s="257">
        <v>0</v>
      </c>
      <c r="L127" s="53">
        <f>+Inputs!J127</f>
        <v>0</v>
      </c>
      <c r="M127" s="201">
        <f>+Inputs!M127</f>
        <v>125</v>
      </c>
      <c r="N127" s="53">
        <f t="shared" si="12"/>
        <v>21670717.234086275</v>
      </c>
      <c r="O127" s="37"/>
      <c r="R127"/>
    </row>
    <row r="128" spans="1:18" x14ac:dyDescent="0.2">
      <c r="A128" s="3" t="str">
        <f t="shared" si="10"/>
        <v>20236</v>
      </c>
      <c r="B128" s="49">
        <f t="shared" si="11"/>
        <v>2023</v>
      </c>
      <c r="C128" s="52">
        <v>45107</v>
      </c>
      <c r="D128" s="201">
        <f>+Inputs!D128</f>
        <v>22454588.449999999</v>
      </c>
      <c r="E128" s="201">
        <v>21.37</v>
      </c>
      <c r="F128" s="201">
        <v>69.710000000000008</v>
      </c>
      <c r="G128" s="53">
        <f>+Inputs!G128</f>
        <v>30</v>
      </c>
      <c r="H128" s="105">
        <f t="shared" si="13"/>
        <v>0.66666666666666663</v>
      </c>
      <c r="I128" s="53">
        <f>+Inputs!I128</f>
        <v>352</v>
      </c>
      <c r="J128" s="257">
        <v>0</v>
      </c>
      <c r="K128" s="257">
        <v>0</v>
      </c>
      <c r="L128" s="53">
        <f>+Inputs!J128</f>
        <v>0</v>
      </c>
      <c r="M128" s="201">
        <f>+Inputs!M128</f>
        <v>126</v>
      </c>
      <c r="N128" s="53">
        <f t="shared" si="12"/>
        <v>21848436.953728214</v>
      </c>
      <c r="O128" s="37"/>
      <c r="R128"/>
    </row>
    <row r="129" spans="1:18" x14ac:dyDescent="0.2">
      <c r="A129" s="3" t="str">
        <f t="shared" si="10"/>
        <v>20237</v>
      </c>
      <c r="B129" s="49">
        <f t="shared" si="11"/>
        <v>2023</v>
      </c>
      <c r="C129" s="52">
        <v>45138</v>
      </c>
      <c r="D129" s="201">
        <f>+Inputs!D129</f>
        <v>24590952.84</v>
      </c>
      <c r="E129" s="201">
        <v>1.24</v>
      </c>
      <c r="F129" s="201">
        <v>140.78500000000003</v>
      </c>
      <c r="G129" s="53">
        <f>+Inputs!G129</f>
        <v>31</v>
      </c>
      <c r="H129" s="105">
        <f t="shared" si="13"/>
        <v>0</v>
      </c>
      <c r="I129" s="53">
        <f>+Inputs!I129</f>
        <v>320</v>
      </c>
      <c r="J129" s="257">
        <v>0</v>
      </c>
      <c r="K129" s="257">
        <v>0</v>
      </c>
      <c r="L129" s="53">
        <f>+Inputs!J129</f>
        <v>0</v>
      </c>
      <c r="M129" s="201">
        <f>+Inputs!M129</f>
        <v>127</v>
      </c>
      <c r="N129" s="53">
        <f t="shared" si="12"/>
        <v>23896955.510782607</v>
      </c>
      <c r="O129" s="37"/>
      <c r="P129"/>
      <c r="Q129"/>
      <c r="R129"/>
    </row>
    <row r="130" spans="1:18" x14ac:dyDescent="0.2">
      <c r="A130" s="3" t="str">
        <f t="shared" si="10"/>
        <v>20238</v>
      </c>
      <c r="B130" s="49">
        <f t="shared" si="11"/>
        <v>2023</v>
      </c>
      <c r="C130" s="52">
        <v>45169</v>
      </c>
      <c r="D130" s="201">
        <f>+Inputs!D130</f>
        <v>23090322.559999999</v>
      </c>
      <c r="E130" s="201">
        <v>3.5549999999999997</v>
      </c>
      <c r="F130" s="201">
        <v>122.37</v>
      </c>
      <c r="G130" s="53">
        <f>+Inputs!G130</f>
        <v>31</v>
      </c>
      <c r="H130" s="105">
        <f t="shared" si="13"/>
        <v>0</v>
      </c>
      <c r="I130" s="53">
        <f>+Inputs!I130</f>
        <v>368</v>
      </c>
      <c r="J130" s="257">
        <v>0</v>
      </c>
      <c r="K130" s="257">
        <v>0</v>
      </c>
      <c r="L130" s="53">
        <f>+Inputs!J130</f>
        <v>0</v>
      </c>
      <c r="M130" s="201">
        <f>+Inputs!M130</f>
        <v>128</v>
      </c>
      <c r="N130" s="53">
        <f t="shared" si="12"/>
        <v>24013007.969213933</v>
      </c>
      <c r="O130" s="37"/>
      <c r="P130"/>
      <c r="Q130"/>
      <c r="R130"/>
    </row>
    <row r="131" spans="1:18" x14ac:dyDescent="0.2">
      <c r="A131" s="3" t="str">
        <f t="shared" si="10"/>
        <v>20239</v>
      </c>
      <c r="B131" s="49">
        <f t="shared" si="11"/>
        <v>2023</v>
      </c>
      <c r="C131" s="52">
        <v>45199</v>
      </c>
      <c r="D131" s="201">
        <f>+Inputs!D131</f>
        <v>21567772.719999999</v>
      </c>
      <c r="E131" s="201">
        <v>44.225000000000009</v>
      </c>
      <c r="F131" s="201">
        <v>50.904999999999987</v>
      </c>
      <c r="G131" s="53">
        <f>+Inputs!G131</f>
        <v>30</v>
      </c>
      <c r="H131" s="105">
        <f t="shared" si="13"/>
        <v>0.33333333333333331</v>
      </c>
      <c r="I131" s="53">
        <f>+Inputs!I131</f>
        <v>320</v>
      </c>
      <c r="J131" s="257">
        <v>0</v>
      </c>
      <c r="K131" s="257">
        <v>0</v>
      </c>
      <c r="L131" s="53">
        <f>+Inputs!J131</f>
        <v>0</v>
      </c>
      <c r="M131" s="201">
        <f>+Inputs!M131</f>
        <v>129</v>
      </c>
      <c r="N131" s="53">
        <f t="shared" si="12"/>
        <v>21384975.10237509</v>
      </c>
      <c r="O131" s="37"/>
      <c r="P131"/>
      <c r="Q131"/>
      <c r="R131"/>
    </row>
    <row r="132" spans="1:18" x14ac:dyDescent="0.2">
      <c r="A132" s="3" t="str">
        <f t="shared" ref="A132:A146" si="14">YEAR(C132)&amp;MONTH(C132)</f>
        <v>202310</v>
      </c>
      <c r="B132" s="49">
        <f t="shared" ref="B132:B146" si="15">YEAR(C132)</f>
        <v>2023</v>
      </c>
      <c r="C132" s="52">
        <v>45230</v>
      </c>
      <c r="D132" s="53"/>
      <c r="E132" s="201">
        <v>222.22000000000003</v>
      </c>
      <c r="F132" s="201">
        <v>3.3</v>
      </c>
      <c r="G132" s="53">
        <f>+Inputs!G132</f>
        <v>31</v>
      </c>
      <c r="H132" s="105">
        <f t="shared" si="13"/>
        <v>1</v>
      </c>
      <c r="I132" s="53">
        <f>+Inputs!I132</f>
        <v>336</v>
      </c>
      <c r="J132" s="257">
        <v>0</v>
      </c>
      <c r="K132" s="257">
        <v>0</v>
      </c>
      <c r="L132" s="53">
        <f>+Inputs!J132</f>
        <v>0</v>
      </c>
      <c r="M132" s="201">
        <f>+Inputs!M132</f>
        <v>129</v>
      </c>
      <c r="N132" s="53">
        <f t="shared" ref="N132:N146" si="16">$T$18+$T$19*E132+$T$20*F132+$T$21*G132+$T$22*H132+$T$23*I132+J132*$T$24+K132*$T$25+L132*$T$26+M132*$T$27</f>
        <v>21496839.298660271</v>
      </c>
      <c r="O132" s="37"/>
      <c r="P132"/>
      <c r="Q132"/>
      <c r="R132"/>
    </row>
    <row r="133" spans="1:18" x14ac:dyDescent="0.2">
      <c r="A133" s="3" t="str">
        <f t="shared" si="14"/>
        <v>202311</v>
      </c>
      <c r="B133" s="49">
        <f t="shared" si="15"/>
        <v>2023</v>
      </c>
      <c r="C133" s="52">
        <v>45260</v>
      </c>
      <c r="D133" s="53"/>
      <c r="E133" s="201">
        <v>420.84500000000008</v>
      </c>
      <c r="F133" s="201">
        <v>0.09</v>
      </c>
      <c r="G133" s="53">
        <f>+Inputs!G133</f>
        <v>30</v>
      </c>
      <c r="H133" s="105">
        <f t="shared" si="13"/>
        <v>1</v>
      </c>
      <c r="I133" s="53">
        <f>+Inputs!I133</f>
        <v>352</v>
      </c>
      <c r="J133" s="257">
        <v>0</v>
      </c>
      <c r="K133" s="257">
        <v>0</v>
      </c>
      <c r="L133" s="53">
        <f>+Inputs!J133</f>
        <v>0</v>
      </c>
      <c r="M133" s="201">
        <f>+Inputs!M133</f>
        <v>129</v>
      </c>
      <c r="N133" s="53">
        <f t="shared" si="16"/>
        <v>22323707.083195947</v>
      </c>
      <c r="O133" s="37"/>
      <c r="P133"/>
      <c r="Q133"/>
      <c r="R133"/>
    </row>
    <row r="134" spans="1:18" x14ac:dyDescent="0.2">
      <c r="A134" s="3" t="str">
        <f t="shared" si="14"/>
        <v>202312</v>
      </c>
      <c r="B134" s="49">
        <f t="shared" si="15"/>
        <v>2023</v>
      </c>
      <c r="C134" s="52">
        <v>45291</v>
      </c>
      <c r="D134" s="53"/>
      <c r="E134" s="201">
        <v>579.06000000000006</v>
      </c>
      <c r="F134" s="201">
        <v>0</v>
      </c>
      <c r="G134" s="53">
        <f>+Inputs!G134</f>
        <v>31</v>
      </c>
      <c r="H134" s="105">
        <f t="shared" si="13"/>
        <v>0.66666666666666663</v>
      </c>
      <c r="I134" s="53">
        <f>+Inputs!I134</f>
        <v>304</v>
      </c>
      <c r="J134" s="257">
        <v>0</v>
      </c>
      <c r="K134" s="257">
        <v>0</v>
      </c>
      <c r="L134" s="53">
        <f>+Inputs!J134</f>
        <v>0</v>
      </c>
      <c r="M134" s="201">
        <f>+Inputs!M134</f>
        <v>129</v>
      </c>
      <c r="N134" s="53">
        <f t="shared" si="16"/>
        <v>23298085.081067398</v>
      </c>
      <c r="O134" s="37"/>
      <c r="P134"/>
      <c r="Q134"/>
      <c r="R134"/>
    </row>
    <row r="135" spans="1:18" x14ac:dyDescent="0.2">
      <c r="A135" s="3" t="str">
        <f t="shared" si="14"/>
        <v>20241</v>
      </c>
      <c r="B135" s="49">
        <f t="shared" si="15"/>
        <v>2024</v>
      </c>
      <c r="C135" s="52">
        <v>45322</v>
      </c>
      <c r="D135" s="53"/>
      <c r="E135" s="201">
        <v>703.65</v>
      </c>
      <c r="F135" s="201">
        <v>0</v>
      </c>
      <c r="G135" s="53">
        <f>+Inputs!G135</f>
        <v>31</v>
      </c>
      <c r="H135" s="105">
        <f t="shared" si="13"/>
        <v>0</v>
      </c>
      <c r="I135" s="53">
        <f>+Inputs!I135</f>
        <v>352</v>
      </c>
      <c r="J135" s="257">
        <v>0</v>
      </c>
      <c r="K135" s="257">
        <v>0</v>
      </c>
      <c r="L135" s="53">
        <f>+Inputs!J135</f>
        <v>0</v>
      </c>
      <c r="M135" s="201">
        <f>+Inputs!M135</f>
        <v>129</v>
      </c>
      <c r="N135" s="53">
        <f t="shared" si="16"/>
        <v>24912167.373339966</v>
      </c>
      <c r="O135" s="37"/>
      <c r="P135"/>
      <c r="Q135"/>
      <c r="R135"/>
    </row>
    <row r="136" spans="1:18" x14ac:dyDescent="0.2">
      <c r="A136" s="3" t="str">
        <f t="shared" si="14"/>
        <v>20242</v>
      </c>
      <c r="B136" s="49">
        <f t="shared" si="15"/>
        <v>2024</v>
      </c>
      <c r="C136" s="52">
        <v>45351</v>
      </c>
      <c r="D136" s="53"/>
      <c r="E136" s="201">
        <v>630.40499999999997</v>
      </c>
      <c r="F136" s="201">
        <v>0</v>
      </c>
      <c r="G136" s="53">
        <f>+Inputs!G136</f>
        <v>29</v>
      </c>
      <c r="H136" s="105">
        <f t="shared" si="13"/>
        <v>0</v>
      </c>
      <c r="I136" s="53">
        <f>+Inputs!I136</f>
        <v>320</v>
      </c>
      <c r="J136" s="257">
        <v>0</v>
      </c>
      <c r="K136" s="257">
        <v>0</v>
      </c>
      <c r="L136" s="53">
        <f>+Inputs!J136</f>
        <v>0</v>
      </c>
      <c r="M136" s="201">
        <f>+Inputs!M136</f>
        <v>129</v>
      </c>
      <c r="N136" s="53">
        <f t="shared" si="16"/>
        <v>23288704.129052155</v>
      </c>
      <c r="O136" s="37"/>
      <c r="P136"/>
      <c r="Q136"/>
      <c r="R136"/>
    </row>
    <row r="137" spans="1:18" x14ac:dyDescent="0.2">
      <c r="A137" s="3" t="str">
        <f t="shared" si="14"/>
        <v>20243</v>
      </c>
      <c r="B137" s="49">
        <f t="shared" si="15"/>
        <v>2024</v>
      </c>
      <c r="C137" s="52">
        <v>45382</v>
      </c>
      <c r="D137" s="53"/>
      <c r="E137" s="201">
        <v>547.82999999999993</v>
      </c>
      <c r="F137" s="201">
        <v>0</v>
      </c>
      <c r="G137" s="53">
        <f>+Inputs!G137</f>
        <v>31</v>
      </c>
      <c r="H137" s="105">
        <f t="shared" si="13"/>
        <v>0.33333333333333331</v>
      </c>
      <c r="I137" s="53">
        <f>+Inputs!I137</f>
        <v>320</v>
      </c>
      <c r="J137" s="257">
        <v>0</v>
      </c>
      <c r="K137" s="257">
        <v>0</v>
      </c>
      <c r="L137" s="53">
        <f>+Inputs!J137</f>
        <v>0</v>
      </c>
      <c r="M137" s="201">
        <f>+Inputs!M137</f>
        <v>129</v>
      </c>
      <c r="N137" s="53">
        <f t="shared" si="16"/>
        <v>23475451.936343335</v>
      </c>
      <c r="O137" s="37"/>
      <c r="P137"/>
      <c r="Q137"/>
      <c r="R137"/>
    </row>
    <row r="138" spans="1:18" x14ac:dyDescent="0.2">
      <c r="A138" s="3" t="str">
        <f t="shared" si="14"/>
        <v>20244</v>
      </c>
      <c r="B138" s="49">
        <f t="shared" si="15"/>
        <v>2024</v>
      </c>
      <c r="C138" s="52">
        <v>45412</v>
      </c>
      <c r="D138" s="53"/>
      <c r="E138" s="201">
        <v>338.72500000000002</v>
      </c>
      <c r="F138" s="201">
        <v>0.71000000000000008</v>
      </c>
      <c r="G138" s="53">
        <f>+Inputs!G138</f>
        <v>30</v>
      </c>
      <c r="H138" s="105">
        <f t="shared" si="13"/>
        <v>1</v>
      </c>
      <c r="I138" s="53">
        <f>+Inputs!I138</f>
        <v>352</v>
      </c>
      <c r="J138" s="257">
        <v>0</v>
      </c>
      <c r="K138" s="257">
        <v>0</v>
      </c>
      <c r="L138" s="53">
        <f>+Inputs!J138</f>
        <v>0</v>
      </c>
      <c r="M138" s="201">
        <f>+Inputs!M138</f>
        <v>129</v>
      </c>
      <c r="N138" s="53">
        <f t="shared" si="16"/>
        <v>21864513.324002564</v>
      </c>
      <c r="O138" s="37"/>
      <c r="P138"/>
      <c r="Q138"/>
      <c r="R138"/>
    </row>
    <row r="139" spans="1:18" x14ac:dyDescent="0.2">
      <c r="A139" s="3" t="str">
        <f t="shared" si="14"/>
        <v>20245</v>
      </c>
      <c r="B139" s="49">
        <f t="shared" si="15"/>
        <v>2024</v>
      </c>
      <c r="C139" s="52">
        <v>45443</v>
      </c>
      <c r="D139" s="53"/>
      <c r="E139" s="201">
        <v>144.06</v>
      </c>
      <c r="F139" s="201">
        <v>23.914999999999999</v>
      </c>
      <c r="G139" s="53">
        <f>+Inputs!G139</f>
        <v>31</v>
      </c>
      <c r="H139" s="105">
        <f t="shared" si="13"/>
        <v>1</v>
      </c>
      <c r="I139" s="53">
        <f>+Inputs!I139</f>
        <v>352</v>
      </c>
      <c r="J139" s="257">
        <v>0</v>
      </c>
      <c r="K139" s="257">
        <v>0</v>
      </c>
      <c r="L139" s="53">
        <f>+Inputs!J139</f>
        <v>0</v>
      </c>
      <c r="M139" s="201">
        <f>+Inputs!M139</f>
        <v>129</v>
      </c>
      <c r="N139" s="53">
        <f t="shared" si="16"/>
        <v>21726335.102057181</v>
      </c>
      <c r="O139" s="37"/>
      <c r="P139"/>
      <c r="Q139"/>
      <c r="R139"/>
    </row>
    <row r="140" spans="1:18" x14ac:dyDescent="0.2">
      <c r="A140" s="3" t="str">
        <f t="shared" si="14"/>
        <v>20246</v>
      </c>
      <c r="B140" s="49">
        <f t="shared" si="15"/>
        <v>2024</v>
      </c>
      <c r="C140" s="52">
        <v>45473</v>
      </c>
      <c r="D140" s="53"/>
      <c r="E140" s="201">
        <v>21.37</v>
      </c>
      <c r="F140" s="201">
        <v>69.710000000000008</v>
      </c>
      <c r="G140" s="53">
        <f>+Inputs!G140</f>
        <v>30</v>
      </c>
      <c r="H140" s="105">
        <f t="shared" si="13"/>
        <v>0.66666666666666663</v>
      </c>
      <c r="I140" s="53">
        <f>+Inputs!I140</f>
        <v>320</v>
      </c>
      <c r="J140" s="257">
        <v>0</v>
      </c>
      <c r="K140" s="257">
        <v>0</v>
      </c>
      <c r="L140" s="53">
        <f>+Inputs!J140</f>
        <v>0</v>
      </c>
      <c r="M140" s="201">
        <f>+Inputs!M140</f>
        <v>129</v>
      </c>
      <c r="N140" s="53">
        <f t="shared" si="16"/>
        <v>21532085.203583106</v>
      </c>
      <c r="O140" s="37"/>
      <c r="P140"/>
      <c r="Q140"/>
      <c r="R140"/>
    </row>
    <row r="141" spans="1:18" x14ac:dyDescent="0.2">
      <c r="A141" s="3" t="str">
        <f t="shared" si="14"/>
        <v>20247</v>
      </c>
      <c r="B141" s="49">
        <f t="shared" si="15"/>
        <v>2024</v>
      </c>
      <c r="C141" s="52">
        <v>45504</v>
      </c>
      <c r="D141" s="53"/>
      <c r="E141" s="201">
        <v>1.24</v>
      </c>
      <c r="F141" s="201">
        <v>140.78500000000003</v>
      </c>
      <c r="G141" s="53">
        <f>+Inputs!G141</f>
        <v>31</v>
      </c>
      <c r="H141" s="105">
        <f t="shared" si="13"/>
        <v>0</v>
      </c>
      <c r="I141" s="53">
        <f>+Inputs!I141</f>
        <v>352</v>
      </c>
      <c r="J141" s="257">
        <v>0</v>
      </c>
      <c r="K141" s="257">
        <v>0</v>
      </c>
      <c r="L141" s="53">
        <f>+Inputs!J141</f>
        <v>0</v>
      </c>
      <c r="M141" s="201">
        <f>+Inputs!M141</f>
        <v>129</v>
      </c>
      <c r="N141" s="53">
        <f t="shared" si="16"/>
        <v>24282829.595891349</v>
      </c>
      <c r="O141" s="37"/>
      <c r="P141"/>
      <c r="Q141"/>
      <c r="R141"/>
    </row>
    <row r="142" spans="1:18" x14ac:dyDescent="0.2">
      <c r="A142" s="3" t="str">
        <f t="shared" si="14"/>
        <v>20248</v>
      </c>
      <c r="B142" s="49">
        <f t="shared" si="15"/>
        <v>2024</v>
      </c>
      <c r="C142" s="52">
        <v>45535</v>
      </c>
      <c r="D142" s="53"/>
      <c r="E142" s="201">
        <v>3.5549999999999997</v>
      </c>
      <c r="F142" s="201">
        <v>122.37</v>
      </c>
      <c r="G142" s="53">
        <f>+Inputs!G142</f>
        <v>31</v>
      </c>
      <c r="H142" s="105">
        <f t="shared" si="13"/>
        <v>0</v>
      </c>
      <c r="I142" s="53">
        <f>+Inputs!I142</f>
        <v>352</v>
      </c>
      <c r="J142" s="257">
        <v>0</v>
      </c>
      <c r="K142" s="257">
        <v>0</v>
      </c>
      <c r="L142" s="53">
        <f>+Inputs!J142</f>
        <v>0</v>
      </c>
      <c r="M142" s="201">
        <f>+Inputs!M142</f>
        <v>129</v>
      </c>
      <c r="N142" s="53">
        <f t="shared" si="16"/>
        <v>23847879.860645019</v>
      </c>
      <c r="O142" s="37"/>
      <c r="P142"/>
      <c r="Q142"/>
      <c r="R142"/>
    </row>
    <row r="143" spans="1:18" x14ac:dyDescent="0.2">
      <c r="A143" s="3" t="str">
        <f t="shared" si="14"/>
        <v>20249</v>
      </c>
      <c r="B143" s="49">
        <f t="shared" si="15"/>
        <v>2024</v>
      </c>
      <c r="C143" s="52">
        <v>45565</v>
      </c>
      <c r="D143" s="53"/>
      <c r="E143" s="201">
        <v>44.225000000000009</v>
      </c>
      <c r="F143" s="201">
        <v>50.904999999999987</v>
      </c>
      <c r="G143" s="53">
        <f>+Inputs!G143</f>
        <v>30</v>
      </c>
      <c r="H143" s="105">
        <f t="shared" si="13"/>
        <v>0.33333333333333331</v>
      </c>
      <c r="I143" s="53">
        <f>+Inputs!I143</f>
        <v>320</v>
      </c>
      <c r="J143" s="257">
        <v>0</v>
      </c>
      <c r="K143" s="257">
        <v>0</v>
      </c>
      <c r="L143" s="53">
        <f>+Inputs!J143</f>
        <v>0</v>
      </c>
      <c r="M143" s="201">
        <f>+Inputs!M143</f>
        <v>129</v>
      </c>
      <c r="N143" s="53">
        <f t="shared" si="16"/>
        <v>21384975.10237509</v>
      </c>
      <c r="O143" s="37"/>
      <c r="P143"/>
      <c r="Q143"/>
      <c r="R143"/>
    </row>
    <row r="144" spans="1:18" x14ac:dyDescent="0.2">
      <c r="A144" s="3" t="str">
        <f t="shared" si="14"/>
        <v>202410</v>
      </c>
      <c r="B144" s="49">
        <f t="shared" si="15"/>
        <v>2024</v>
      </c>
      <c r="C144" s="52">
        <v>45596</v>
      </c>
      <c r="D144" s="53"/>
      <c r="E144" s="201">
        <v>222.22000000000003</v>
      </c>
      <c r="F144" s="201">
        <v>3.3</v>
      </c>
      <c r="G144" s="53">
        <f>+Inputs!G144</f>
        <v>31</v>
      </c>
      <c r="H144" s="105">
        <f t="shared" ref="H144:H146" si="17">+H132</f>
        <v>1</v>
      </c>
      <c r="I144" s="53">
        <f>+Inputs!I144</f>
        <v>352</v>
      </c>
      <c r="J144" s="257">
        <v>0</v>
      </c>
      <c r="K144" s="257">
        <v>0</v>
      </c>
      <c r="L144" s="53">
        <f>+Inputs!J144</f>
        <v>0</v>
      </c>
      <c r="M144" s="201">
        <f>+Inputs!M144</f>
        <v>129</v>
      </c>
      <c r="N144" s="53">
        <f t="shared" si="16"/>
        <v>21675871.874221914</v>
      </c>
      <c r="O144" s="37"/>
      <c r="P144"/>
      <c r="Q144"/>
      <c r="R144"/>
    </row>
    <row r="145" spans="1:18" x14ac:dyDescent="0.2">
      <c r="A145" s="3" t="str">
        <f t="shared" si="14"/>
        <v>202411</v>
      </c>
      <c r="B145" s="49">
        <f t="shared" si="15"/>
        <v>2024</v>
      </c>
      <c r="C145" s="52">
        <v>45626</v>
      </c>
      <c r="D145" s="53"/>
      <c r="E145" s="201">
        <v>420.84500000000008</v>
      </c>
      <c r="F145" s="201">
        <v>0.09</v>
      </c>
      <c r="G145" s="53">
        <f>+Inputs!G145</f>
        <v>30</v>
      </c>
      <c r="H145" s="105">
        <f t="shared" si="17"/>
        <v>1</v>
      </c>
      <c r="I145" s="53">
        <f>+Inputs!I145</f>
        <v>336</v>
      </c>
      <c r="J145" s="257">
        <v>0</v>
      </c>
      <c r="K145" s="257">
        <v>0</v>
      </c>
      <c r="L145" s="53">
        <f>+Inputs!J145</f>
        <v>0</v>
      </c>
      <c r="M145" s="201">
        <f>+Inputs!M145</f>
        <v>129</v>
      </c>
      <c r="N145" s="53">
        <f t="shared" si="16"/>
        <v>22144674.507634297</v>
      </c>
      <c r="O145" s="37"/>
      <c r="R145"/>
    </row>
    <row r="146" spans="1:18" x14ac:dyDescent="0.2">
      <c r="A146" s="3" t="str">
        <f t="shared" si="14"/>
        <v>202412</v>
      </c>
      <c r="B146" s="49">
        <f t="shared" si="15"/>
        <v>2024</v>
      </c>
      <c r="C146" s="52">
        <v>45657</v>
      </c>
      <c r="D146" s="53"/>
      <c r="E146" s="201">
        <v>579.06000000000006</v>
      </c>
      <c r="F146" s="201">
        <v>0</v>
      </c>
      <c r="G146" s="53">
        <f>+Inputs!G146</f>
        <v>31</v>
      </c>
      <c r="H146" s="105">
        <f t="shared" si="17"/>
        <v>0.66666666666666663</v>
      </c>
      <c r="I146" s="53">
        <f>+Inputs!I146</f>
        <v>320</v>
      </c>
      <c r="J146" s="257">
        <v>0</v>
      </c>
      <c r="K146" s="257">
        <v>0</v>
      </c>
      <c r="L146" s="53">
        <f>+Inputs!J146</f>
        <v>0</v>
      </c>
      <c r="M146" s="201">
        <f>+Inputs!M146</f>
        <v>129</v>
      </c>
      <c r="N146" s="53">
        <f t="shared" si="16"/>
        <v>23477117.656629041</v>
      </c>
      <c r="O146" s="37"/>
      <c r="R146"/>
    </row>
    <row r="147" spans="1:18" x14ac:dyDescent="0.2">
      <c r="C147" s="38"/>
      <c r="G147" s="10"/>
      <c r="H147" s="106"/>
      <c r="L147" s="10"/>
      <c r="R147"/>
    </row>
    <row r="148" spans="1:18" x14ac:dyDescent="0.2">
      <c r="C148" s="38"/>
      <c r="G148" s="10"/>
      <c r="H148" s="106"/>
      <c r="L148" s="10"/>
      <c r="R148"/>
    </row>
    <row r="149" spans="1:18" x14ac:dyDescent="0.2">
      <c r="C149" s="38"/>
      <c r="E149" s="93"/>
      <c r="F149" s="67" t="s">
        <v>107</v>
      </c>
      <c r="G149" s="10"/>
      <c r="H149" s="106"/>
      <c r="L149" s="10"/>
      <c r="N149" s="67" t="s">
        <v>158</v>
      </c>
      <c r="O149" s="67" t="s">
        <v>159</v>
      </c>
      <c r="P149" s="67" t="s">
        <v>160</v>
      </c>
      <c r="R149"/>
    </row>
    <row r="150" spans="1:18" x14ac:dyDescent="0.2">
      <c r="C150" s="38"/>
      <c r="E150" s="14"/>
      <c r="F150" s="66" t="s">
        <v>74</v>
      </c>
      <c r="G150" s="10"/>
      <c r="H150" s="106"/>
      <c r="L150" s="10"/>
      <c r="N150" s="37">
        <f>SUM(N2:N146)</f>
        <v>3164285583.5687828</v>
      </c>
      <c r="R150"/>
    </row>
    <row r="151" spans="1:18" x14ac:dyDescent="0.2">
      <c r="C151" s="38"/>
      <c r="G151" s="10"/>
      <c r="H151" s="106"/>
      <c r="L151" s="10"/>
      <c r="R151"/>
    </row>
    <row r="152" spans="1:18" x14ac:dyDescent="0.2">
      <c r="C152" s="29">
        <v>2013</v>
      </c>
      <c r="D152" s="6">
        <f t="shared" ref="D152:D161" si="18">SUMIF(B:B,C152,D:D)</f>
        <v>253794532.28605214</v>
      </c>
      <c r="N152" s="6">
        <f>SUM(N3:N14)</f>
        <v>252572822.52254465</v>
      </c>
      <c r="O152" s="40">
        <f>+'Purchased Power Model'!N152</f>
        <v>251533693.58879703</v>
      </c>
      <c r="P152" s="120">
        <f>+N152/O152</f>
        <v>1.0041311719273935</v>
      </c>
      <c r="Q152" s="5"/>
      <c r="R152"/>
    </row>
    <row r="153" spans="1:18" x14ac:dyDescent="0.2">
      <c r="C153" s="29">
        <v>2014</v>
      </c>
      <c r="D153" s="6">
        <f t="shared" si="18"/>
        <v>256463675.28359121</v>
      </c>
      <c r="N153" s="6">
        <f>SUM(N15:N26)</f>
        <v>254575065.76949745</v>
      </c>
      <c r="O153" s="40">
        <f>+'Purchased Power Model'!N153</f>
        <v>253556301.02569917</v>
      </c>
      <c r="P153" s="120">
        <f t="shared" ref="P153:P163" si="19">+N153/O153</f>
        <v>1.0040179034781511</v>
      </c>
      <c r="Q153" s="5"/>
      <c r="R153"/>
    </row>
    <row r="154" spans="1:18" x14ac:dyDescent="0.2">
      <c r="C154" s="29">
        <v>2015</v>
      </c>
      <c r="D154" s="6">
        <f t="shared" si="18"/>
        <v>256374688.63650927</v>
      </c>
      <c r="N154" s="6">
        <f>SUM(N27:N38)</f>
        <v>256577309.01645008</v>
      </c>
      <c r="O154" s="40">
        <f>+'Purchased Power Model'!N154</f>
        <v>255727922.66187942</v>
      </c>
      <c r="P154" s="120">
        <f t="shared" si="19"/>
        <v>1.0033214454867867</v>
      </c>
      <c r="Q154" s="5"/>
      <c r="R154"/>
    </row>
    <row r="155" spans="1:18" x14ac:dyDescent="0.2">
      <c r="C155" s="29">
        <v>2016</v>
      </c>
      <c r="D155" s="6">
        <f t="shared" si="18"/>
        <v>259210018.63999999</v>
      </c>
      <c r="N155" s="6">
        <f>SUM(N39:N50)</f>
        <v>259000736.35176241</v>
      </c>
      <c r="O155" s="40">
        <f>+'Purchased Power Model'!N155</f>
        <v>261639329.47235405</v>
      </c>
      <c r="P155" s="120">
        <f t="shared" si="19"/>
        <v>0.98991515103668526</v>
      </c>
      <c r="Q155" s="5"/>
      <c r="R155"/>
    </row>
    <row r="156" spans="1:18" x14ac:dyDescent="0.2">
      <c r="C156" s="29">
        <v>2017</v>
      </c>
      <c r="D156" s="6">
        <f t="shared" si="18"/>
        <v>254048366.90000001</v>
      </c>
      <c r="N156" s="6">
        <f>SUM(N51:N62)</f>
        <v>260402762.93479398</v>
      </c>
      <c r="O156" s="40">
        <f>+'Purchased Power Model'!N156</f>
        <v>258052709.48889771</v>
      </c>
      <c r="P156" s="120">
        <f t="shared" si="19"/>
        <v>1.0091068737489748</v>
      </c>
      <c r="Q156" s="5"/>
      <c r="R156"/>
    </row>
    <row r="157" spans="1:18" x14ac:dyDescent="0.2">
      <c r="C157" s="29">
        <v>2018</v>
      </c>
      <c r="D157" s="6">
        <f t="shared" si="18"/>
        <v>266473255.97205046</v>
      </c>
      <c r="N157" s="6">
        <f>SUM(N63:N74)</f>
        <v>262584038.7573083</v>
      </c>
      <c r="O157" s="40">
        <f>+'Purchased Power Model'!N157</f>
        <v>265791999.93549296</v>
      </c>
      <c r="P157" s="120">
        <f t="shared" si="19"/>
        <v>0.98793055780849981</v>
      </c>
      <c r="Q157" s="5"/>
      <c r="R157"/>
    </row>
    <row r="158" spans="1:18" x14ac:dyDescent="0.2">
      <c r="C158" s="29">
        <v>2019</v>
      </c>
      <c r="D158" s="6">
        <f t="shared" si="18"/>
        <v>261985353.56</v>
      </c>
      <c r="N158" s="6">
        <f>SUM(N75:N86)</f>
        <v>264586282.00426108</v>
      </c>
      <c r="O158" s="40">
        <f>+'Purchased Power Model'!N158</f>
        <v>264427475.99361259</v>
      </c>
      <c r="P158" s="120">
        <f t="shared" si="19"/>
        <v>1.0006005654671541</v>
      </c>
      <c r="Q158" s="5"/>
      <c r="R158"/>
    </row>
    <row r="159" spans="1:18" x14ac:dyDescent="0.2">
      <c r="C159" s="29">
        <v>2020</v>
      </c>
      <c r="D159" s="6">
        <f t="shared" si="18"/>
        <v>263490930.20000002</v>
      </c>
      <c r="N159" s="6">
        <f>SUM(N87:N98)</f>
        <v>264595415.38523331</v>
      </c>
      <c r="O159" s="40">
        <f>+'Purchased Power Model'!N159</f>
        <v>265846091.2069304</v>
      </c>
      <c r="P159" s="120">
        <f t="shared" si="19"/>
        <v>0.99529548914554633</v>
      </c>
      <c r="Q159" s="5"/>
      <c r="R159"/>
    </row>
    <row r="160" spans="1:18" x14ac:dyDescent="0.2">
      <c r="C160" s="29">
        <v>2021</v>
      </c>
      <c r="D160" s="6">
        <f t="shared" si="18"/>
        <v>268727921.99999994</v>
      </c>
      <c r="N160" s="6">
        <f>SUM(N99:N110)</f>
        <v>268142130.89387885</v>
      </c>
      <c r="O160" s="40">
        <f>+'Purchased Power Model'!N160</f>
        <v>267553382.3857789</v>
      </c>
      <c r="P160" s="120">
        <f t="shared" si="19"/>
        <v>1.0022004898717782</v>
      </c>
      <c r="Q160" s="5"/>
      <c r="R160"/>
    </row>
    <row r="161" spans="3:18" x14ac:dyDescent="0.2">
      <c r="C161" s="29">
        <v>2022</v>
      </c>
      <c r="D161" s="6">
        <f t="shared" si="18"/>
        <v>275977471.30408913</v>
      </c>
      <c r="N161" s="6">
        <f>SUM(N111:N122)</f>
        <v>275303618.65272164</v>
      </c>
      <c r="O161" s="40">
        <f>+'Purchased Power Model'!N161</f>
        <v>275977471.30408889</v>
      </c>
      <c r="P161" s="120">
        <f t="shared" si="19"/>
        <v>0.99755830558131042</v>
      </c>
      <c r="Q161" s="5"/>
      <c r="R161"/>
    </row>
    <row r="162" spans="3:18" x14ac:dyDescent="0.2">
      <c r="C162" s="29">
        <v>2023</v>
      </c>
      <c r="D162" s="6">
        <f>SUM(D123:D131,N132:N134)</f>
        <v>272202985.6149742</v>
      </c>
      <c r="N162" s="16">
        <f>SUM(N123:N134)</f>
        <v>272332795.61455399</v>
      </c>
      <c r="O162" s="40">
        <f>+'Purchased Power Model'!N162</f>
        <v>268642823.33373272</v>
      </c>
      <c r="P162" s="120">
        <f t="shared" si="19"/>
        <v>1.0137356071345232</v>
      </c>
      <c r="Q162" s="5"/>
      <c r="R162"/>
    </row>
    <row r="163" spans="3:18" x14ac:dyDescent="0.2">
      <c r="C163" s="29">
        <v>2024</v>
      </c>
      <c r="M163" s="6"/>
      <c r="N163" s="16">
        <f>SUM(N135:N146)</f>
        <v>273612605.66577506</v>
      </c>
      <c r="O163" s="40">
        <f>+'Purchased Power Model'!N163</f>
        <v>273612605.66577506</v>
      </c>
      <c r="P163" s="120">
        <f t="shared" si="19"/>
        <v>1</v>
      </c>
      <c r="Q163" s="5"/>
      <c r="R163"/>
    </row>
    <row r="164" spans="3:18" x14ac:dyDescent="0.2">
      <c r="N164" s="6"/>
      <c r="R164"/>
    </row>
    <row r="165" spans="3:18" x14ac:dyDescent="0.2">
      <c r="C165" s="46" t="s">
        <v>11</v>
      </c>
      <c r="D165" s="6">
        <f>SUM(D152:D162)</f>
        <v>2888749200.3972659</v>
      </c>
      <c r="N165" s="6">
        <f>SUM(N152:N162)</f>
        <v>2890672977.9030061</v>
      </c>
      <c r="O165" s="37">
        <f>N165-D165</f>
        <v>1923777.5057401657</v>
      </c>
      <c r="P165" s="1" t="s">
        <v>146</v>
      </c>
      <c r="R165" s="5"/>
    </row>
    <row r="166" spans="3:18" x14ac:dyDescent="0.2">
      <c r="R166" s="5"/>
    </row>
    <row r="167" spans="3:18" x14ac:dyDescent="0.2">
      <c r="N167" s="6">
        <f>SUM(N152:N163)</f>
        <v>3164285583.5687809</v>
      </c>
      <c r="O167" s="37">
        <f>N150-N167</f>
        <v>0</v>
      </c>
      <c r="R167" s="5"/>
    </row>
    <row r="168" spans="3:18" x14ac:dyDescent="0.2">
      <c r="M168" s="244"/>
      <c r="N168" s="244"/>
      <c r="O168" s="244"/>
      <c r="P168"/>
      <c r="Q168"/>
      <c r="R168" s="5"/>
    </row>
    <row r="169" spans="3:18" x14ac:dyDescent="0.2">
      <c r="R169" s="6"/>
    </row>
    <row r="170" spans="3:18" x14ac:dyDescent="0.2">
      <c r="R170" s="6"/>
    </row>
    <row r="171" spans="3:18" x14ac:dyDescent="0.2">
      <c r="C171"/>
      <c r="D171"/>
      <c r="E171"/>
      <c r="F171"/>
      <c r="G171"/>
      <c r="I171"/>
      <c r="J171"/>
      <c r="K171"/>
      <c r="L171"/>
      <c r="M171"/>
      <c r="N171"/>
      <c r="O171"/>
    </row>
    <row r="172" spans="3:18" x14ac:dyDescent="0.2">
      <c r="C172"/>
      <c r="D172"/>
      <c r="E172"/>
      <c r="F172"/>
      <c r="G172"/>
      <c r="I172"/>
      <c r="J172"/>
      <c r="K172"/>
      <c r="L172"/>
      <c r="M172"/>
      <c r="N172"/>
      <c r="O172"/>
    </row>
    <row r="173" spans="3:18" x14ac:dyDescent="0.2">
      <c r="C173"/>
      <c r="D173"/>
      <c r="E173"/>
      <c r="F173"/>
      <c r="G173"/>
      <c r="I173"/>
      <c r="J173"/>
      <c r="K173"/>
      <c r="L173"/>
      <c r="M173"/>
      <c r="N173"/>
      <c r="O173"/>
    </row>
    <row r="174" spans="3:18" x14ac:dyDescent="0.2">
      <c r="C174"/>
      <c r="D174"/>
      <c r="E174"/>
      <c r="F174"/>
      <c r="G174"/>
      <c r="I174"/>
      <c r="J174"/>
      <c r="K174"/>
      <c r="L174"/>
      <c r="M174"/>
      <c r="N174"/>
      <c r="O174"/>
    </row>
    <row r="175" spans="3:18" x14ac:dyDescent="0.2">
      <c r="C175"/>
      <c r="D175"/>
      <c r="E175"/>
      <c r="F175"/>
      <c r="G175"/>
      <c r="I175"/>
      <c r="J175"/>
      <c r="K175"/>
      <c r="L175"/>
      <c r="M175"/>
      <c r="N175"/>
      <c r="O175"/>
    </row>
    <row r="176" spans="3:18" x14ac:dyDescent="0.2">
      <c r="C176"/>
      <c r="D176"/>
      <c r="E176"/>
      <c r="F176"/>
      <c r="G176"/>
      <c r="I176"/>
      <c r="J176"/>
      <c r="K176"/>
      <c r="L176"/>
      <c r="M176"/>
      <c r="N176"/>
      <c r="O176"/>
    </row>
    <row r="177" spans="3:18" x14ac:dyDescent="0.2">
      <c r="C177"/>
      <c r="D177"/>
      <c r="E177"/>
      <c r="F177"/>
      <c r="G177"/>
      <c r="I177"/>
      <c r="J177"/>
      <c r="K177"/>
      <c r="L177"/>
      <c r="M177"/>
      <c r="N177"/>
      <c r="O177"/>
    </row>
    <row r="178" spans="3:18" x14ac:dyDescent="0.2">
      <c r="C178"/>
      <c r="D178"/>
      <c r="E178"/>
      <c r="F178"/>
      <c r="G178"/>
      <c r="I178"/>
      <c r="J178"/>
      <c r="K178"/>
      <c r="L178"/>
      <c r="M178"/>
      <c r="N178"/>
      <c r="O178"/>
    </row>
    <row r="179" spans="3:18" x14ac:dyDescent="0.2">
      <c r="C179"/>
      <c r="D179"/>
      <c r="E179"/>
      <c r="F179"/>
      <c r="G179"/>
      <c r="I179"/>
      <c r="J179"/>
      <c r="K179"/>
      <c r="L179"/>
      <c r="M179"/>
      <c r="N179"/>
      <c r="O179"/>
      <c r="P179"/>
      <c r="Q179"/>
      <c r="R179"/>
    </row>
    <row r="180" spans="3:18" x14ac:dyDescent="0.2">
      <c r="C180"/>
      <c r="D180"/>
      <c r="E180"/>
      <c r="F180"/>
      <c r="G180"/>
      <c r="I180"/>
      <c r="J180"/>
      <c r="K180"/>
      <c r="L180"/>
      <c r="M180"/>
      <c r="N180"/>
      <c r="O180"/>
      <c r="P180"/>
      <c r="Q180"/>
      <c r="R180"/>
    </row>
    <row r="181" spans="3:18" x14ac:dyDescent="0.2">
      <c r="C181"/>
      <c r="D181"/>
      <c r="E181"/>
      <c r="F181"/>
      <c r="G181"/>
      <c r="I181"/>
      <c r="J181"/>
      <c r="K181"/>
      <c r="L181"/>
      <c r="M181"/>
      <c r="N181"/>
      <c r="O181"/>
      <c r="P181"/>
      <c r="Q181"/>
      <c r="R181"/>
    </row>
    <row r="182" spans="3:18" x14ac:dyDescent="0.2">
      <c r="C182"/>
      <c r="D182"/>
      <c r="E182"/>
      <c r="F182"/>
      <c r="G182"/>
      <c r="I182"/>
      <c r="J182"/>
      <c r="K182"/>
      <c r="L182"/>
      <c r="M182"/>
      <c r="N182"/>
      <c r="O182"/>
      <c r="P182"/>
      <c r="Q182"/>
      <c r="R182"/>
    </row>
    <row r="183" spans="3:18" x14ac:dyDescent="0.2">
      <c r="C183"/>
      <c r="D183"/>
      <c r="E183"/>
      <c r="F183"/>
      <c r="G183"/>
      <c r="I183"/>
      <c r="J183"/>
      <c r="K183"/>
      <c r="L183"/>
      <c r="M183"/>
      <c r="N183"/>
      <c r="O183"/>
      <c r="P183"/>
      <c r="Q183"/>
      <c r="R183"/>
    </row>
    <row r="184" spans="3:18" x14ac:dyDescent="0.2">
      <c r="C184"/>
      <c r="P184"/>
      <c r="Q184"/>
      <c r="R184"/>
    </row>
    <row r="185" spans="3:18" x14ac:dyDescent="0.2">
      <c r="C185"/>
      <c r="P185"/>
      <c r="Q185"/>
      <c r="R185"/>
    </row>
    <row r="186" spans="3:18" x14ac:dyDescent="0.2">
      <c r="C186"/>
      <c r="P186"/>
      <c r="Q186"/>
      <c r="R186"/>
    </row>
    <row r="187" spans="3:18" x14ac:dyDescent="0.2">
      <c r="C187"/>
      <c r="P187"/>
      <c r="Q187"/>
      <c r="R187"/>
    </row>
    <row r="188" spans="3:18" x14ac:dyDescent="0.2">
      <c r="C188"/>
      <c r="P188"/>
      <c r="Q188"/>
      <c r="R188"/>
    </row>
    <row r="189" spans="3:18" x14ac:dyDescent="0.2">
      <c r="C189"/>
      <c r="P189"/>
      <c r="Q189"/>
      <c r="R189"/>
    </row>
    <row r="190" spans="3:18" x14ac:dyDescent="0.2">
      <c r="C190"/>
      <c r="P190"/>
      <c r="Q190"/>
      <c r="R190"/>
    </row>
    <row r="191" spans="3:18" x14ac:dyDescent="0.2">
      <c r="C191"/>
      <c r="P191"/>
      <c r="Q191"/>
      <c r="R191"/>
    </row>
    <row r="192" spans="3:18" x14ac:dyDescent="0.2">
      <c r="C192"/>
      <c r="P192"/>
      <c r="Q192"/>
      <c r="R192"/>
    </row>
    <row r="193" spans="3:18" x14ac:dyDescent="0.2">
      <c r="C193"/>
      <c r="P193"/>
      <c r="Q193"/>
      <c r="R193"/>
    </row>
    <row r="194" spans="3:18" x14ac:dyDescent="0.2">
      <c r="C194"/>
      <c r="P194"/>
      <c r="Q194"/>
      <c r="R194"/>
    </row>
    <row r="195" spans="3:18" customFormat="1" x14ac:dyDescent="0.2">
      <c r="H195" s="103"/>
    </row>
    <row r="196" spans="3:18" customFormat="1" x14ac:dyDescent="0.2">
      <c r="H196" s="103"/>
    </row>
  </sheetData>
  <mergeCells count="1">
    <mergeCell ref="M168:O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DA04A-C637-4BBF-ADB5-684AB89E4DA6}">
  <sheetPr>
    <tabColor rgb="FF00B0F0"/>
    <pageSetUpPr fitToPage="1"/>
  </sheetPr>
  <dimension ref="A1:AA196"/>
  <sheetViews>
    <sheetView tabSelected="1" zoomScale="82" zoomScaleNormal="82" workbookViewId="0">
      <pane xSplit="3" ySplit="2" topLeftCell="K3" activePane="bottomRight" state="frozen"/>
      <selection pane="topRight" activeCell="C1" sqref="C1"/>
      <selection pane="bottomLeft" activeCell="A3" sqref="A3"/>
      <selection pane="bottomRight" activeCell="O22" sqref="O22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03" customWidth="1"/>
    <col min="9" max="11" width="13" style="1" customWidth="1"/>
    <col min="12" max="12" width="12.42578125" style="1" customWidth="1"/>
    <col min="13" max="13" width="14.85546875" style="1" customWidth="1"/>
    <col min="14" max="14" width="15.5703125" style="1" bestFit="1" customWidth="1"/>
    <col min="15" max="15" width="16" style="1" customWidth="1"/>
    <col min="16" max="17" width="8.42578125" style="1" customWidth="1"/>
    <col min="18" max="18" width="4.85546875" style="1" customWidth="1"/>
    <col min="19" max="19" width="35.140625" customWidth="1"/>
    <col min="20" max="20" width="18.42578125" customWidth="1"/>
    <col min="21" max="21" width="14.7109375" customWidth="1"/>
    <col min="22" max="23" width="12.5703125" customWidth="1"/>
    <col min="24" max="27" width="15.7109375" customWidth="1"/>
    <col min="28" max="28" width="42.42578125" bestFit="1" customWidth="1"/>
    <col min="29" max="29" width="15.5703125" bestFit="1" customWidth="1"/>
    <col min="30" max="30" width="26.140625" bestFit="1" customWidth="1"/>
    <col min="31" max="31" width="23" bestFit="1" customWidth="1"/>
    <col min="34" max="34" width="40.5703125" bestFit="1" customWidth="1"/>
    <col min="35" max="35" width="42.85546875" bestFit="1" customWidth="1"/>
  </cols>
  <sheetData>
    <row r="1" spans="1:24" x14ac:dyDescent="0.2">
      <c r="S1" s="47" t="s">
        <v>289</v>
      </c>
    </row>
    <row r="2" spans="1:24" ht="38.2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104" t="s">
        <v>18</v>
      </c>
      <c r="I2" s="61" t="s">
        <v>7</v>
      </c>
      <c r="J2" s="256" t="s">
        <v>288</v>
      </c>
      <c r="K2" s="256" t="s">
        <v>287</v>
      </c>
      <c r="L2" s="61" t="s">
        <v>145</v>
      </c>
      <c r="M2" s="61" t="s">
        <v>70</v>
      </c>
      <c r="N2" s="61" t="s">
        <v>12</v>
      </c>
      <c r="O2" s="63" t="s">
        <v>13</v>
      </c>
      <c r="P2" s="61" t="s">
        <v>14</v>
      </c>
      <c r="Q2" s="61" t="s">
        <v>64</v>
      </c>
      <c r="R2"/>
      <c r="S2" t="s">
        <v>19</v>
      </c>
    </row>
    <row r="3" spans="1:24" x14ac:dyDescent="0.2">
      <c r="A3" s="3" t="str">
        <f>YEAR(C3)&amp;MONTH(C3)</f>
        <v>20131</v>
      </c>
      <c r="B3" s="49">
        <f>YEAR(C3)</f>
        <v>2013</v>
      </c>
      <c r="C3" s="52">
        <v>41305</v>
      </c>
      <c r="D3" s="53">
        <f>+Inputs!D3</f>
        <v>23103232.740000002</v>
      </c>
      <c r="E3" s="53">
        <f>VLOOKUP(A3,'[11]HDD CDD Summary'!$R:$T,2,FALSE)</f>
        <v>624.50000000000011</v>
      </c>
      <c r="F3" s="53">
        <f>VLOOKUP(A3,'[11]HDD CDD Summary'!$R:$T,3,FALSE)</f>
        <v>0</v>
      </c>
      <c r="G3" s="53">
        <f>+Inputs!G3</f>
        <v>31</v>
      </c>
      <c r="H3" s="105">
        <f>+Inputs!H3</f>
        <v>0</v>
      </c>
      <c r="I3" s="53">
        <f>+Inputs!I3</f>
        <v>352</v>
      </c>
      <c r="J3" s="257">
        <v>0</v>
      </c>
      <c r="K3" s="257">
        <v>0</v>
      </c>
      <c r="L3" s="53">
        <f>+Inputs!J3</f>
        <v>0</v>
      </c>
      <c r="M3" s="53">
        <f>+Inputs!M3</f>
        <v>1</v>
      </c>
      <c r="N3" s="53">
        <f>$T$18+$T$19*E3+$T$20*F3+$T$21*G3+$T$22*H3+$T$23*I3+J3*$T$24+K3*$T$25+L3*$T$26+M3*$T$27</f>
        <v>22675261.0786906</v>
      </c>
      <c r="O3" s="37">
        <f t="shared" ref="O3:O34" si="0">N3-D3</f>
        <v>-427971.66130940244</v>
      </c>
      <c r="P3" s="45">
        <f t="shared" ref="P3:P34" si="1">O3/D3</f>
        <v>-1.8524319350704095E-2</v>
      </c>
      <c r="Q3" s="12">
        <f t="shared" ref="Q3:Q66" si="2">ABS(P3)</f>
        <v>1.8524319350704095E-2</v>
      </c>
      <c r="R3" s="12"/>
    </row>
    <row r="4" spans="1:24" x14ac:dyDescent="0.2">
      <c r="A4" s="3" t="str">
        <f t="shared" ref="A4:A67" si="3">YEAR(C4)&amp;MONTH(C4)</f>
        <v>20132</v>
      </c>
      <c r="B4" s="49">
        <f t="shared" ref="B4:B67" si="4">YEAR(C4)</f>
        <v>2013</v>
      </c>
      <c r="C4" s="52">
        <v>41333</v>
      </c>
      <c r="D4" s="53">
        <f>+Inputs!D4</f>
        <v>21143805.780000001</v>
      </c>
      <c r="E4" s="53">
        <f>VLOOKUP(A4,'[11]HDD CDD Summary'!$R:$T,2,FALSE)</f>
        <v>631.49999999999989</v>
      </c>
      <c r="F4" s="53">
        <f>VLOOKUP(A4,'[11]HDD CDD Summary'!$R:$T,3,FALSE)</f>
        <v>0</v>
      </c>
      <c r="G4" s="53">
        <f>+Inputs!G4</f>
        <v>28</v>
      </c>
      <c r="H4" s="105">
        <f>+Inputs!H4</f>
        <v>0</v>
      </c>
      <c r="I4" s="53">
        <f>+Inputs!I4</f>
        <v>304</v>
      </c>
      <c r="J4" s="257">
        <v>0</v>
      </c>
      <c r="K4" s="257">
        <v>0</v>
      </c>
      <c r="L4" s="53">
        <f>+Inputs!J4</f>
        <v>0</v>
      </c>
      <c r="M4" s="53">
        <f>+Inputs!M4</f>
        <v>2</v>
      </c>
      <c r="N4" s="53">
        <f t="shared" ref="N4:N67" si="5">$T$18+$T$19*E4+$T$20*F4+$T$21*G4+$T$22*H4+$T$23*I4+J4*$T$24+K4*$T$25+L4*$T$26+M4*$T$27</f>
        <v>20928944.380667228</v>
      </c>
      <c r="O4" s="37">
        <f t="shared" si="0"/>
        <v>-214861.39933277294</v>
      </c>
      <c r="P4" s="45">
        <f t="shared" si="1"/>
        <v>-1.0161907537762718E-2</v>
      </c>
      <c r="Q4" s="12">
        <f t="shared" si="2"/>
        <v>1.0161907537762718E-2</v>
      </c>
      <c r="R4" s="12"/>
      <c r="S4" s="76" t="s">
        <v>20</v>
      </c>
      <c r="T4" s="76"/>
    </row>
    <row r="5" spans="1:24" x14ac:dyDescent="0.2">
      <c r="A5" s="3" t="str">
        <f t="shared" si="3"/>
        <v>20133</v>
      </c>
      <c r="B5" s="49">
        <f t="shared" si="4"/>
        <v>2013</v>
      </c>
      <c r="C5" s="52">
        <v>41364</v>
      </c>
      <c r="D5" s="53">
        <f>+Inputs!D5</f>
        <v>22021932.285</v>
      </c>
      <c r="E5" s="53">
        <f>VLOOKUP(A5,'[11]HDD CDD Summary'!$R:$T,2,FALSE)</f>
        <v>554.79999999999995</v>
      </c>
      <c r="F5" s="53">
        <f>VLOOKUP(A5,'[11]HDD CDD Summary'!$R:$T,3,FALSE)</f>
        <v>0</v>
      </c>
      <c r="G5" s="53">
        <f>+Inputs!G5</f>
        <v>31</v>
      </c>
      <c r="H5" s="105">
        <v>0.33333333333333331</v>
      </c>
      <c r="I5" s="53">
        <f>+Inputs!I5</f>
        <v>320</v>
      </c>
      <c r="J5" s="257">
        <v>0</v>
      </c>
      <c r="K5" s="257">
        <v>0</v>
      </c>
      <c r="L5" s="53">
        <f>+Inputs!J5</f>
        <v>0</v>
      </c>
      <c r="M5" s="53">
        <f>+Inputs!M5</f>
        <v>3</v>
      </c>
      <c r="N5" s="53">
        <f t="shared" si="5"/>
        <v>21763744.655606806</v>
      </c>
      <c r="O5" s="37">
        <f t="shared" si="0"/>
        <v>-258187.62939319387</v>
      </c>
      <c r="P5" s="45">
        <f t="shared" si="1"/>
        <v>-1.1724113309033085E-2</v>
      </c>
      <c r="Q5" s="12">
        <f t="shared" si="2"/>
        <v>1.1724113309033085E-2</v>
      </c>
      <c r="R5" s="12"/>
      <c r="S5" t="s">
        <v>21</v>
      </c>
      <c r="T5" s="112">
        <v>0.96204524479694453</v>
      </c>
    </row>
    <row r="6" spans="1:24" x14ac:dyDescent="0.2">
      <c r="A6" s="3" t="str">
        <f t="shared" si="3"/>
        <v>20134</v>
      </c>
      <c r="B6" s="49">
        <f t="shared" si="4"/>
        <v>2013</v>
      </c>
      <c r="C6" s="52">
        <v>41394</v>
      </c>
      <c r="D6" s="53">
        <f>+Inputs!D6</f>
        <v>20056096.465</v>
      </c>
      <c r="E6" s="53">
        <f>VLOOKUP(A6,'[11]HDD CDD Summary'!$R:$T,2,FALSE)</f>
        <v>358.6</v>
      </c>
      <c r="F6" s="53">
        <f>VLOOKUP(A6,'[11]HDD CDD Summary'!$R:$T,3,FALSE)</f>
        <v>0</v>
      </c>
      <c r="G6" s="53">
        <f>+Inputs!G6</f>
        <v>30</v>
      </c>
      <c r="H6" s="105">
        <f>+Inputs!H6</f>
        <v>1</v>
      </c>
      <c r="I6" s="53">
        <f>+Inputs!I6</f>
        <v>352</v>
      </c>
      <c r="J6" s="257">
        <v>0</v>
      </c>
      <c r="K6" s="257">
        <v>0</v>
      </c>
      <c r="L6" s="53">
        <f>+Inputs!J6</f>
        <v>0</v>
      </c>
      <c r="M6" s="53">
        <f>+Inputs!M6</f>
        <v>4</v>
      </c>
      <c r="N6" s="53">
        <f t="shared" si="5"/>
        <v>20223958.72214907</v>
      </c>
      <c r="O6" s="37">
        <f t="shared" si="0"/>
        <v>167862.2571490705</v>
      </c>
      <c r="P6" s="45">
        <f t="shared" si="1"/>
        <v>8.3696375035893864E-3</v>
      </c>
      <c r="Q6" s="12">
        <f t="shared" si="2"/>
        <v>8.3696375035893864E-3</v>
      </c>
      <c r="R6" s="12"/>
      <c r="S6" t="s">
        <v>22</v>
      </c>
      <c r="T6" s="112">
        <v>0.92553105303641303</v>
      </c>
    </row>
    <row r="7" spans="1:24" x14ac:dyDescent="0.2">
      <c r="A7" s="3" t="str">
        <f t="shared" si="3"/>
        <v>20135</v>
      </c>
      <c r="B7" s="49">
        <f t="shared" si="4"/>
        <v>2013</v>
      </c>
      <c r="C7" s="52">
        <v>41425</v>
      </c>
      <c r="D7" s="53">
        <f>+Inputs!D7</f>
        <v>19849846.864999998</v>
      </c>
      <c r="E7" s="53">
        <f>VLOOKUP(A7,'[11]HDD CDD Summary'!$R:$T,2,FALSE)</f>
        <v>109.10000000000001</v>
      </c>
      <c r="F7" s="53">
        <f>VLOOKUP(A7,'[11]HDD CDD Summary'!$R:$T,3,FALSE)</f>
        <v>23.1</v>
      </c>
      <c r="G7" s="53">
        <f>+Inputs!G7</f>
        <v>31</v>
      </c>
      <c r="H7" s="105">
        <f>+Inputs!H7</f>
        <v>1</v>
      </c>
      <c r="I7" s="53">
        <f>+Inputs!I7</f>
        <v>352</v>
      </c>
      <c r="J7" s="257">
        <v>0</v>
      </c>
      <c r="K7" s="257">
        <v>0</v>
      </c>
      <c r="L7" s="53">
        <f>+Inputs!J7</f>
        <v>0</v>
      </c>
      <c r="M7" s="53">
        <f>+Inputs!M7</f>
        <v>5</v>
      </c>
      <c r="N7" s="53">
        <f t="shared" si="5"/>
        <v>19780426.600464188</v>
      </c>
      <c r="O7" s="37">
        <f t="shared" si="0"/>
        <v>-69420.264535810798</v>
      </c>
      <c r="P7" s="45">
        <f t="shared" si="1"/>
        <v>-3.4972695259536351E-3</v>
      </c>
      <c r="Q7" s="12">
        <f t="shared" si="2"/>
        <v>3.4972695259536351E-3</v>
      </c>
      <c r="R7" s="12"/>
      <c r="S7" t="s">
        <v>23</v>
      </c>
      <c r="T7" s="112">
        <v>0.91989894780387282</v>
      </c>
    </row>
    <row r="8" spans="1:24" x14ac:dyDescent="0.2">
      <c r="A8" s="3" t="str">
        <f t="shared" si="3"/>
        <v>20136</v>
      </c>
      <c r="B8" s="49">
        <f t="shared" si="4"/>
        <v>2013</v>
      </c>
      <c r="C8" s="52">
        <v>41455</v>
      </c>
      <c r="D8" s="53">
        <f>+Inputs!D8</f>
        <v>20147779.544999998</v>
      </c>
      <c r="E8" s="53">
        <f>VLOOKUP(A8,'[11]HDD CDD Summary'!$R:$T,2,FALSE)</f>
        <v>32.999999999999993</v>
      </c>
      <c r="F8" s="53">
        <f>VLOOKUP(A8,'[11]HDD CDD Summary'!$R:$T,3,FALSE)</f>
        <v>60</v>
      </c>
      <c r="G8" s="53">
        <f>+Inputs!G8</f>
        <v>30</v>
      </c>
      <c r="H8" s="105">
        <v>0.66666666666666663</v>
      </c>
      <c r="I8" s="53">
        <f>+Inputs!I8</f>
        <v>320</v>
      </c>
      <c r="J8" s="257">
        <v>0</v>
      </c>
      <c r="K8" s="257">
        <v>0</v>
      </c>
      <c r="L8" s="53">
        <f>+Inputs!J8</f>
        <v>0</v>
      </c>
      <c r="M8" s="53">
        <f>+Inputs!M8</f>
        <v>6</v>
      </c>
      <c r="N8" s="53">
        <f t="shared" si="5"/>
        <v>19652611.756271634</v>
      </c>
      <c r="O8" s="37">
        <f t="shared" si="0"/>
        <v>-495167.78872836381</v>
      </c>
      <c r="P8" s="45">
        <f t="shared" si="1"/>
        <v>-2.4576792078869446E-2</v>
      </c>
      <c r="Q8" s="12">
        <f t="shared" si="2"/>
        <v>2.4576792078869446E-2</v>
      </c>
      <c r="R8" s="12"/>
      <c r="S8" t="s">
        <v>24</v>
      </c>
      <c r="T8" s="113">
        <v>418372.43205383013</v>
      </c>
    </row>
    <row r="9" spans="1:24" ht="13.5" thickBot="1" x14ac:dyDescent="0.25">
      <c r="A9" s="3" t="str">
        <f t="shared" si="3"/>
        <v>20137</v>
      </c>
      <c r="B9" s="49">
        <f t="shared" si="4"/>
        <v>2013</v>
      </c>
      <c r="C9" s="52">
        <v>41486</v>
      </c>
      <c r="D9" s="53">
        <f>+Inputs!D9</f>
        <v>22076027.195</v>
      </c>
      <c r="E9" s="53">
        <f>VLOOKUP(A9,'[11]HDD CDD Summary'!$R:$T,2,FALSE)</f>
        <v>1.2999999999999998</v>
      </c>
      <c r="F9" s="53">
        <f>VLOOKUP(A9,'[11]HDD CDD Summary'!$R:$T,3,FALSE)</f>
        <v>131.20000000000002</v>
      </c>
      <c r="G9" s="53">
        <f>+Inputs!G9</f>
        <v>31</v>
      </c>
      <c r="H9" s="105">
        <f>+Inputs!H9</f>
        <v>0</v>
      </c>
      <c r="I9" s="53">
        <f>+Inputs!I9</f>
        <v>352</v>
      </c>
      <c r="J9" s="257">
        <v>0</v>
      </c>
      <c r="K9" s="257">
        <v>0</v>
      </c>
      <c r="L9" s="53">
        <f>+Inputs!J9</f>
        <v>0</v>
      </c>
      <c r="M9" s="53">
        <f>+Inputs!M9</f>
        <v>7</v>
      </c>
      <c r="N9" s="53">
        <f t="shared" si="5"/>
        <v>22353480.712687418</v>
      </c>
      <c r="O9" s="37">
        <f t="shared" si="0"/>
        <v>277453.51768741757</v>
      </c>
      <c r="P9" s="45">
        <f t="shared" si="1"/>
        <v>1.2568090953894911E-2</v>
      </c>
      <c r="Q9" s="12">
        <f t="shared" si="2"/>
        <v>1.2568090953894911E-2</v>
      </c>
      <c r="R9" s="12"/>
      <c r="S9" s="90" t="s">
        <v>25</v>
      </c>
      <c r="T9" s="90">
        <v>129</v>
      </c>
    </row>
    <row r="10" spans="1:24" x14ac:dyDescent="0.2">
      <c r="A10" s="3" t="str">
        <f t="shared" si="3"/>
        <v>20138</v>
      </c>
      <c r="B10" s="49">
        <f t="shared" si="4"/>
        <v>2013</v>
      </c>
      <c r="C10" s="52">
        <v>41517</v>
      </c>
      <c r="D10" s="53">
        <f>+Inputs!D10</f>
        <v>21280806.869999997</v>
      </c>
      <c r="E10" s="53">
        <f>VLOOKUP(A10,'[11]HDD CDD Summary'!$R:$T,2,FALSE)</f>
        <v>4.4000000000000004</v>
      </c>
      <c r="F10" s="53">
        <f>VLOOKUP(A10,'[11]HDD CDD Summary'!$R:$T,3,FALSE)</f>
        <v>93.799999999999983</v>
      </c>
      <c r="G10" s="53">
        <f>+Inputs!G10</f>
        <v>31</v>
      </c>
      <c r="H10" s="105">
        <f>+Inputs!H10</f>
        <v>0</v>
      </c>
      <c r="I10" s="53">
        <f>+Inputs!I10</f>
        <v>352</v>
      </c>
      <c r="J10" s="257">
        <v>0</v>
      </c>
      <c r="K10" s="257">
        <v>0</v>
      </c>
      <c r="L10" s="53">
        <f>+Inputs!J10</f>
        <v>0</v>
      </c>
      <c r="M10" s="53">
        <f>+Inputs!M10</f>
        <v>8</v>
      </c>
      <c r="N10" s="53">
        <f t="shared" si="5"/>
        <v>21474772.257621311</v>
      </c>
      <c r="O10" s="37">
        <f t="shared" si="0"/>
        <v>193965.38762131333</v>
      </c>
      <c r="P10" s="45">
        <f t="shared" si="1"/>
        <v>9.1145692363173714E-3</v>
      </c>
      <c r="Q10" s="12">
        <f t="shared" si="2"/>
        <v>9.1145692363173714E-3</v>
      </c>
      <c r="R10" s="12"/>
    </row>
    <row r="11" spans="1:24" x14ac:dyDescent="0.2">
      <c r="A11" s="3" t="str">
        <f t="shared" si="3"/>
        <v>20139</v>
      </c>
      <c r="B11" s="49">
        <f t="shared" si="4"/>
        <v>2013</v>
      </c>
      <c r="C11" s="52">
        <v>41547</v>
      </c>
      <c r="D11" s="53">
        <f>+Inputs!D11</f>
        <v>19603273.836052112</v>
      </c>
      <c r="E11" s="53">
        <f>VLOOKUP(A11,'[11]HDD CDD Summary'!$R:$T,2,FALSE)</f>
        <v>86.35</v>
      </c>
      <c r="F11" s="53">
        <f>VLOOKUP(A11,'[11]HDD CDD Summary'!$R:$T,3,FALSE)</f>
        <v>28.749999999999996</v>
      </c>
      <c r="G11" s="53">
        <f>+Inputs!G11</f>
        <v>30</v>
      </c>
      <c r="H11" s="105">
        <v>0.33333333333333331</v>
      </c>
      <c r="I11" s="53">
        <f>+Inputs!I11</f>
        <v>320</v>
      </c>
      <c r="J11" s="257">
        <v>0</v>
      </c>
      <c r="K11" s="257">
        <v>0</v>
      </c>
      <c r="L11" s="53">
        <f>+Inputs!J11</f>
        <v>0</v>
      </c>
      <c r="M11" s="53">
        <f>+Inputs!M11</f>
        <v>9</v>
      </c>
      <c r="N11" s="53">
        <f t="shared" si="5"/>
        <v>19420362.12958486</v>
      </c>
      <c r="O11" s="37">
        <f t="shared" si="0"/>
        <v>-182911.70646725222</v>
      </c>
      <c r="P11" s="45">
        <f t="shared" si="1"/>
        <v>-9.3306713968797292E-3</v>
      </c>
      <c r="Q11" s="12">
        <f t="shared" si="2"/>
        <v>9.3306713968797292E-3</v>
      </c>
      <c r="R11" s="12"/>
      <c r="S11" t="s">
        <v>26</v>
      </c>
    </row>
    <row r="12" spans="1:24" x14ac:dyDescent="0.2">
      <c r="A12" s="3" t="str">
        <f t="shared" si="3"/>
        <v>201310</v>
      </c>
      <c r="B12" s="49">
        <f t="shared" si="4"/>
        <v>2013</v>
      </c>
      <c r="C12" s="52">
        <v>41578</v>
      </c>
      <c r="D12" s="53">
        <f>+Inputs!D12</f>
        <v>20353929.379999995</v>
      </c>
      <c r="E12" s="53">
        <f>VLOOKUP(A12,'[11]HDD CDD Summary'!$R:$T,2,FALSE)</f>
        <v>221.8</v>
      </c>
      <c r="F12" s="53">
        <f>VLOOKUP(A12,'[11]HDD CDD Summary'!$R:$T,3,FALSE)</f>
        <v>0.4</v>
      </c>
      <c r="G12" s="53">
        <f>+Inputs!G12</f>
        <v>31</v>
      </c>
      <c r="H12" s="105">
        <f>+Inputs!H12</f>
        <v>1</v>
      </c>
      <c r="I12" s="53">
        <f>+Inputs!I12</f>
        <v>352</v>
      </c>
      <c r="J12" s="257">
        <v>0</v>
      </c>
      <c r="K12" s="257">
        <v>0</v>
      </c>
      <c r="L12" s="53">
        <f>+Inputs!J12</f>
        <v>0</v>
      </c>
      <c r="M12" s="53">
        <f>+Inputs!M12</f>
        <v>10</v>
      </c>
      <c r="N12" s="53">
        <f t="shared" si="5"/>
        <v>19948212.977867335</v>
      </c>
      <c r="O12" s="37">
        <f t="shared" si="0"/>
        <v>-405716.40213266015</v>
      </c>
      <c r="P12" s="45">
        <f t="shared" si="1"/>
        <v>-1.9933075061728461E-2</v>
      </c>
      <c r="Q12" s="12">
        <f t="shared" si="2"/>
        <v>1.9933075061728461E-2</v>
      </c>
      <c r="R12" s="12"/>
      <c r="S12" s="76"/>
      <c r="T12" s="76" t="s">
        <v>30</v>
      </c>
      <c r="U12" s="76" t="s">
        <v>31</v>
      </c>
      <c r="V12" s="76" t="s">
        <v>32</v>
      </c>
      <c r="W12" s="76" t="s">
        <v>33</v>
      </c>
      <c r="X12" s="76" t="s">
        <v>34</v>
      </c>
    </row>
    <row r="13" spans="1:24" x14ac:dyDescent="0.2">
      <c r="A13" s="3" t="str">
        <f t="shared" si="3"/>
        <v>201311</v>
      </c>
      <c r="B13" s="49">
        <f t="shared" si="4"/>
        <v>2013</v>
      </c>
      <c r="C13" s="52">
        <v>41608</v>
      </c>
      <c r="D13" s="53">
        <f>+Inputs!D13</f>
        <v>21325343.805</v>
      </c>
      <c r="E13" s="53">
        <f>VLOOKUP(A13,'[11]HDD CDD Summary'!$R:$T,2,FALSE)</f>
        <v>478.20000000000005</v>
      </c>
      <c r="F13" s="53">
        <f>VLOOKUP(A13,'[11]HDD CDD Summary'!$R:$T,3,FALSE)</f>
        <v>0</v>
      </c>
      <c r="G13" s="53">
        <f>+Inputs!G13</f>
        <v>30</v>
      </c>
      <c r="H13" s="105">
        <f>+Inputs!H13</f>
        <v>1</v>
      </c>
      <c r="I13" s="53">
        <f>+Inputs!I13</f>
        <v>336</v>
      </c>
      <c r="J13" s="257">
        <v>0</v>
      </c>
      <c r="K13" s="257">
        <v>0</v>
      </c>
      <c r="L13" s="53">
        <f>+Inputs!J13</f>
        <v>0</v>
      </c>
      <c r="M13" s="53">
        <f>+Inputs!M13</f>
        <v>11</v>
      </c>
      <c r="N13" s="53">
        <f t="shared" si="5"/>
        <v>20833012.798250359</v>
      </c>
      <c r="O13" s="37">
        <f t="shared" si="0"/>
        <v>-492331.00674964115</v>
      </c>
      <c r="P13" s="45">
        <f t="shared" si="1"/>
        <v>-2.3086662107375162E-2</v>
      </c>
      <c r="Q13" s="12">
        <f t="shared" si="2"/>
        <v>2.3086662107375162E-2</v>
      </c>
      <c r="R13" s="12"/>
      <c r="S13" t="s">
        <v>27</v>
      </c>
      <c r="T13">
        <v>9</v>
      </c>
      <c r="U13">
        <v>258874255372703</v>
      </c>
      <c r="V13">
        <v>28763806152522.555</v>
      </c>
      <c r="W13">
        <v>164.33127841593628</v>
      </c>
      <c r="X13">
        <v>9.2964104684484964E-63</v>
      </c>
    </row>
    <row r="14" spans="1:24" x14ac:dyDescent="0.2">
      <c r="A14" s="3" t="str">
        <f t="shared" si="3"/>
        <v>201312</v>
      </c>
      <c r="B14" s="49">
        <f t="shared" si="4"/>
        <v>2013</v>
      </c>
      <c r="C14" s="52">
        <v>41639</v>
      </c>
      <c r="D14" s="53">
        <f>+Inputs!D14</f>
        <v>22832457.52</v>
      </c>
      <c r="E14" s="53">
        <f>VLOOKUP(A14,'[11]HDD CDD Summary'!$R:$T,2,FALSE)</f>
        <v>687.9</v>
      </c>
      <c r="F14" s="53">
        <f>VLOOKUP(A14,'[11]HDD CDD Summary'!$R:$T,3,FALSE)</f>
        <v>0</v>
      </c>
      <c r="G14" s="53">
        <f>+Inputs!G14</f>
        <v>31</v>
      </c>
      <c r="H14" s="105">
        <v>0.66666666666666663</v>
      </c>
      <c r="I14" s="53">
        <f>+Inputs!I14</f>
        <v>320</v>
      </c>
      <c r="J14" s="257">
        <v>0</v>
      </c>
      <c r="K14" s="257">
        <v>0</v>
      </c>
      <c r="L14" s="53">
        <f>+Inputs!J14</f>
        <v>0</v>
      </c>
      <c r="M14" s="53">
        <f>+Inputs!M14</f>
        <v>12</v>
      </c>
      <c r="N14" s="53">
        <f t="shared" si="5"/>
        <v>22478905.518936254</v>
      </c>
      <c r="O14" s="37">
        <f t="shared" si="0"/>
        <v>-353552.00106374547</v>
      </c>
      <c r="P14" s="45">
        <f t="shared" si="1"/>
        <v>-1.548462318408139E-2</v>
      </c>
      <c r="Q14" s="12">
        <f t="shared" si="2"/>
        <v>1.548462318408139E-2</v>
      </c>
      <c r="R14" s="12"/>
      <c r="S14" t="s">
        <v>28</v>
      </c>
      <c r="T14">
        <v>119</v>
      </c>
      <c r="U14">
        <v>20829223536413.77</v>
      </c>
      <c r="V14">
        <v>175035491902.63672</v>
      </c>
    </row>
    <row r="15" spans="1:24" ht="13.5" thickBot="1" x14ac:dyDescent="0.25">
      <c r="A15" s="3" t="str">
        <f t="shared" si="3"/>
        <v>20141</v>
      </c>
      <c r="B15" s="49">
        <f t="shared" si="4"/>
        <v>2014</v>
      </c>
      <c r="C15" s="52">
        <v>41670</v>
      </c>
      <c r="D15" s="53">
        <f>+Inputs!D15</f>
        <v>24790039.349999998</v>
      </c>
      <c r="E15" s="53">
        <f>VLOOKUP(A15,'[11]HDD CDD Summary'!$R:$T,2,FALSE)</f>
        <v>825.90000000000009</v>
      </c>
      <c r="F15" s="53">
        <f>VLOOKUP(A15,'[11]HDD CDD Summary'!$R:$T,3,FALSE)</f>
        <v>0</v>
      </c>
      <c r="G15" s="53">
        <f>+Inputs!G15</f>
        <v>31</v>
      </c>
      <c r="H15" s="105">
        <f>+H3</f>
        <v>0</v>
      </c>
      <c r="I15" s="53">
        <f>+Inputs!I15</f>
        <v>352</v>
      </c>
      <c r="J15" s="257">
        <v>0</v>
      </c>
      <c r="K15" s="257">
        <v>0</v>
      </c>
      <c r="L15" s="53">
        <f>+Inputs!J15</f>
        <v>0</v>
      </c>
      <c r="M15" s="53">
        <f>+Inputs!M15</f>
        <v>13</v>
      </c>
      <c r="N15" s="53">
        <f t="shared" si="5"/>
        <v>24005309.783594694</v>
      </c>
      <c r="O15" s="37">
        <f t="shared" si="0"/>
        <v>-784729.56640530378</v>
      </c>
      <c r="P15" s="45">
        <f t="shared" si="1"/>
        <v>-3.1655035126247344E-2</v>
      </c>
      <c r="Q15" s="12">
        <f t="shared" si="2"/>
        <v>3.1655035126247344E-2</v>
      </c>
      <c r="R15" s="12"/>
      <c r="S15" s="90" t="s">
        <v>11</v>
      </c>
      <c r="T15" s="90">
        <v>128</v>
      </c>
      <c r="U15" s="90">
        <v>279703478909116.78</v>
      </c>
      <c r="V15" s="90"/>
      <c r="W15" s="90"/>
      <c r="X15" s="90"/>
    </row>
    <row r="16" spans="1:24" x14ac:dyDescent="0.2">
      <c r="A16" s="3" t="str">
        <f t="shared" si="3"/>
        <v>20142</v>
      </c>
      <c r="B16" s="49">
        <f t="shared" si="4"/>
        <v>2014</v>
      </c>
      <c r="C16" s="52">
        <v>41698</v>
      </c>
      <c r="D16" s="53">
        <f>+Inputs!D16</f>
        <v>21747839.690000001</v>
      </c>
      <c r="E16" s="53">
        <f>VLOOKUP(A16,'[11]HDD CDD Summary'!$R:$T,2,FALSE)</f>
        <v>737.09999999999991</v>
      </c>
      <c r="F16" s="53">
        <f>VLOOKUP(A16,'[11]HDD CDD Summary'!$R:$T,3,FALSE)</f>
        <v>0</v>
      </c>
      <c r="G16" s="53">
        <f>+Inputs!G16</f>
        <v>28</v>
      </c>
      <c r="H16" s="105">
        <f t="shared" ref="H16:H79" si="6">+H4</f>
        <v>0</v>
      </c>
      <c r="I16" s="53">
        <f>+Inputs!I16</f>
        <v>304</v>
      </c>
      <c r="J16" s="257">
        <v>0</v>
      </c>
      <c r="K16" s="257">
        <v>0</v>
      </c>
      <c r="L16" s="53">
        <f>+Inputs!J16</f>
        <v>0</v>
      </c>
      <c r="M16" s="53">
        <f>+Inputs!M16</f>
        <v>14</v>
      </c>
      <c r="N16" s="53">
        <f t="shared" si="5"/>
        <v>21705695.713798873</v>
      </c>
      <c r="O16" s="37">
        <f t="shared" si="0"/>
        <v>-42143.976201128215</v>
      </c>
      <c r="P16" s="45">
        <f t="shared" si="1"/>
        <v>-1.9378465540421783E-3</v>
      </c>
      <c r="Q16" s="12">
        <f t="shared" si="2"/>
        <v>1.9378465540421783E-3</v>
      </c>
      <c r="R16" s="12"/>
    </row>
    <row r="17" spans="1:27" x14ac:dyDescent="0.2">
      <c r="A17" s="3" t="str">
        <f t="shared" si="3"/>
        <v>20143</v>
      </c>
      <c r="B17" s="49">
        <f t="shared" si="4"/>
        <v>2014</v>
      </c>
      <c r="C17" s="52">
        <v>41729</v>
      </c>
      <c r="D17" s="53">
        <f>+Inputs!D17</f>
        <v>23077253.934999999</v>
      </c>
      <c r="E17" s="53">
        <f>VLOOKUP(A17,'[11]HDD CDD Summary'!$R:$T,2,FALSE)</f>
        <v>690.6</v>
      </c>
      <c r="F17" s="53">
        <f>VLOOKUP(A17,'[11]HDD CDD Summary'!$R:$T,3,FALSE)</f>
        <v>0</v>
      </c>
      <c r="G17" s="53">
        <f>+Inputs!G17</f>
        <v>31</v>
      </c>
      <c r="H17" s="105">
        <f t="shared" si="6"/>
        <v>0.33333333333333331</v>
      </c>
      <c r="I17" s="53">
        <f>+Inputs!I17</f>
        <v>336</v>
      </c>
      <c r="J17" s="257">
        <v>0</v>
      </c>
      <c r="K17" s="257">
        <v>0</v>
      </c>
      <c r="L17" s="53">
        <f>+Inputs!J17</f>
        <v>0</v>
      </c>
      <c r="M17" s="53">
        <f>+Inputs!M17</f>
        <v>15</v>
      </c>
      <c r="N17" s="53">
        <f t="shared" si="5"/>
        <v>22893950.073982012</v>
      </c>
      <c r="O17" s="37">
        <f t="shared" si="0"/>
        <v>-183303.86101798713</v>
      </c>
      <c r="P17" s="45">
        <f t="shared" si="1"/>
        <v>-7.9430534297661934E-3</v>
      </c>
      <c r="Q17" s="12">
        <f t="shared" si="2"/>
        <v>7.9430534297661934E-3</v>
      </c>
      <c r="R17" s="12"/>
      <c r="S17" s="76"/>
      <c r="T17" s="76" t="s">
        <v>35</v>
      </c>
      <c r="U17" s="76" t="s">
        <v>24</v>
      </c>
      <c r="V17" s="76" t="s">
        <v>36</v>
      </c>
      <c r="W17" s="76" t="s">
        <v>37</v>
      </c>
      <c r="X17" s="76" t="s">
        <v>38</v>
      </c>
      <c r="Y17" s="76" t="s">
        <v>39</v>
      </c>
      <c r="Z17" s="76" t="s">
        <v>105</v>
      </c>
      <c r="AA17" s="76" t="s">
        <v>106</v>
      </c>
    </row>
    <row r="18" spans="1:27" x14ac:dyDescent="0.2">
      <c r="A18" s="3" t="str">
        <f t="shared" si="3"/>
        <v>20144</v>
      </c>
      <c r="B18" s="49">
        <f t="shared" si="4"/>
        <v>2014</v>
      </c>
      <c r="C18" s="52">
        <v>41759</v>
      </c>
      <c r="D18" s="53">
        <f>+Inputs!D18</f>
        <v>20129764.705000002</v>
      </c>
      <c r="E18" s="53">
        <f>VLOOKUP(A18,'[11]HDD CDD Summary'!$R:$T,2,FALSE)</f>
        <v>356.90000000000003</v>
      </c>
      <c r="F18" s="53">
        <f>VLOOKUP(A18,'[11]HDD CDD Summary'!$R:$T,3,FALSE)</f>
        <v>0</v>
      </c>
      <c r="G18" s="53">
        <f>+Inputs!G18</f>
        <v>30</v>
      </c>
      <c r="H18" s="105">
        <f t="shared" si="6"/>
        <v>1</v>
      </c>
      <c r="I18" s="53">
        <f>+Inputs!I18</f>
        <v>336</v>
      </c>
      <c r="J18" s="257">
        <v>0</v>
      </c>
      <c r="K18" s="257">
        <v>0</v>
      </c>
      <c r="L18" s="53">
        <f>+Inputs!J18</f>
        <v>0</v>
      </c>
      <c r="M18" s="53">
        <f>+Inputs!M18</f>
        <v>16</v>
      </c>
      <c r="N18" s="53">
        <f t="shared" si="5"/>
        <v>20201961.321147196</v>
      </c>
      <c r="O18" s="37">
        <f t="shared" si="0"/>
        <v>72196.616147194058</v>
      </c>
      <c r="P18" s="45">
        <f t="shared" si="1"/>
        <v>3.5865603600056611E-3</v>
      </c>
      <c r="Q18" s="12">
        <f t="shared" si="2"/>
        <v>3.5865603600056611E-3</v>
      </c>
      <c r="R18" s="12"/>
      <c r="S18" t="s">
        <v>29</v>
      </c>
      <c r="T18" s="113">
        <v>2059104.3096541483</v>
      </c>
      <c r="U18" s="113">
        <v>1405762.4346619956</v>
      </c>
      <c r="V18" s="113">
        <v>1.464759804987422</v>
      </c>
      <c r="W18" s="113">
        <v>0.14562342492871955</v>
      </c>
      <c r="X18" s="113">
        <v>-724445.7135478803</v>
      </c>
      <c r="Y18" s="113">
        <v>4842654.3328561764</v>
      </c>
      <c r="Z18" s="113">
        <v>-724445.7135478803</v>
      </c>
      <c r="AA18" s="113">
        <v>4842654.3328561764</v>
      </c>
    </row>
    <row r="19" spans="1:27" x14ac:dyDescent="0.2">
      <c r="A19" s="3" t="str">
        <f t="shared" si="3"/>
        <v>20145</v>
      </c>
      <c r="B19" s="49">
        <f t="shared" si="4"/>
        <v>2014</v>
      </c>
      <c r="C19" s="52">
        <v>41790</v>
      </c>
      <c r="D19" s="53">
        <f>+Inputs!D19</f>
        <v>19632003.695</v>
      </c>
      <c r="E19" s="53">
        <f>VLOOKUP(A19,'[11]HDD CDD Summary'!$R:$T,2,FALSE)</f>
        <v>132.10000000000005</v>
      </c>
      <c r="F19" s="53">
        <f>VLOOKUP(A19,'[11]HDD CDD Summary'!$R:$T,3,FALSE)</f>
        <v>11.9</v>
      </c>
      <c r="G19" s="53">
        <f>+Inputs!G19</f>
        <v>31</v>
      </c>
      <c r="H19" s="105">
        <f t="shared" si="6"/>
        <v>1</v>
      </c>
      <c r="I19" s="53">
        <f>+Inputs!I19</f>
        <v>336</v>
      </c>
      <c r="J19" s="257">
        <v>0</v>
      </c>
      <c r="K19" s="257">
        <v>0</v>
      </c>
      <c r="L19" s="53">
        <f>+Inputs!J19</f>
        <v>0</v>
      </c>
      <c r="M19" s="53">
        <f>+Inputs!M19</f>
        <v>17</v>
      </c>
      <c r="N19" s="53">
        <f t="shared" si="5"/>
        <v>19628416.974934768</v>
      </c>
      <c r="O19" s="37">
        <f t="shared" si="0"/>
        <v>-3586.7200652323663</v>
      </c>
      <c r="P19" s="45">
        <f t="shared" si="1"/>
        <v>-1.826976054484879E-4</v>
      </c>
      <c r="Q19" s="12">
        <f t="shared" si="2"/>
        <v>1.826976054484879E-4</v>
      </c>
      <c r="R19" s="12"/>
      <c r="S19" t="s">
        <v>4</v>
      </c>
      <c r="T19" s="113">
        <v>5775.5466782093754</v>
      </c>
      <c r="U19" s="113">
        <v>259.25164061134342</v>
      </c>
      <c r="V19" s="113">
        <v>22.277763275055893</v>
      </c>
      <c r="W19" s="113">
        <v>2.8411554085164421E-44</v>
      </c>
      <c r="X19" s="113">
        <v>5262.2025366635944</v>
      </c>
      <c r="Y19" s="113">
        <v>6288.8908197551564</v>
      </c>
      <c r="Z19" s="113">
        <v>5262.2025366635944</v>
      </c>
      <c r="AA19" s="113">
        <v>6288.8908197551564</v>
      </c>
    </row>
    <row r="20" spans="1:27" x14ac:dyDescent="0.2">
      <c r="A20" s="3" t="str">
        <f t="shared" si="3"/>
        <v>20146</v>
      </c>
      <c r="B20" s="49">
        <f t="shared" si="4"/>
        <v>2014</v>
      </c>
      <c r="C20" s="52">
        <v>41820</v>
      </c>
      <c r="D20" s="53">
        <f>+Inputs!D20</f>
        <v>20417295.370000001</v>
      </c>
      <c r="E20" s="53">
        <f>VLOOKUP(A20,'[11]HDD CDD Summary'!$R:$T,2,FALSE)</f>
        <v>14.1</v>
      </c>
      <c r="F20" s="53">
        <f>VLOOKUP(A20,'[11]HDD CDD Summary'!$R:$T,3,FALSE)</f>
        <v>68.099999999999994</v>
      </c>
      <c r="G20" s="53">
        <f>+Inputs!G20</f>
        <v>30</v>
      </c>
      <c r="H20" s="105">
        <f t="shared" si="6"/>
        <v>0.66666666666666663</v>
      </c>
      <c r="I20" s="53">
        <f>+Inputs!I20</f>
        <v>336</v>
      </c>
      <c r="J20" s="257">
        <v>0</v>
      </c>
      <c r="K20" s="257">
        <v>0</v>
      </c>
      <c r="L20" s="53">
        <f>+Inputs!J20</f>
        <v>0</v>
      </c>
      <c r="M20" s="53">
        <f>+Inputs!M20</f>
        <v>18</v>
      </c>
      <c r="N20" s="53">
        <f t="shared" si="5"/>
        <v>20086537.660901286</v>
      </c>
      <c r="O20" s="37">
        <f t="shared" si="0"/>
        <v>-330757.70909871534</v>
      </c>
      <c r="P20" s="45">
        <f t="shared" si="1"/>
        <v>-1.6199878735393705E-2</v>
      </c>
      <c r="Q20" s="12">
        <f t="shared" si="2"/>
        <v>1.6199878735393705E-2</v>
      </c>
      <c r="R20" s="12"/>
      <c r="S20" t="s">
        <v>5</v>
      </c>
      <c r="T20" s="113">
        <v>24345.377453510173</v>
      </c>
      <c r="U20" s="113">
        <v>1456.0523035533663</v>
      </c>
      <c r="V20" s="113">
        <v>16.720125639784673</v>
      </c>
      <c r="W20" s="113">
        <v>5.0611345966697879E-33</v>
      </c>
      <c r="X20" s="113">
        <v>21462.248467129306</v>
      </c>
      <c r="Y20" s="113">
        <v>27228.50643989104</v>
      </c>
      <c r="Z20" s="113">
        <v>21462.248467129306</v>
      </c>
      <c r="AA20" s="113">
        <v>27228.50643989104</v>
      </c>
    </row>
    <row r="21" spans="1:27" x14ac:dyDescent="0.2">
      <c r="A21" s="3" t="str">
        <f t="shared" si="3"/>
        <v>20147</v>
      </c>
      <c r="B21" s="49">
        <f t="shared" si="4"/>
        <v>2014</v>
      </c>
      <c r="C21" s="52">
        <v>41851</v>
      </c>
      <c r="D21" s="53">
        <f>+Inputs!D21</f>
        <v>20942891.695</v>
      </c>
      <c r="E21" s="53">
        <f>VLOOKUP(A21,'[11]HDD CDD Summary'!$R:$T,2,FALSE)</f>
        <v>4</v>
      </c>
      <c r="F21" s="53">
        <f>VLOOKUP(A21,'[11]HDD CDD Summary'!$R:$T,3,FALSE)</f>
        <v>71</v>
      </c>
      <c r="G21" s="53">
        <f>+Inputs!G21</f>
        <v>31</v>
      </c>
      <c r="H21" s="105">
        <f t="shared" si="6"/>
        <v>0</v>
      </c>
      <c r="I21" s="53">
        <f>+Inputs!I21</f>
        <v>352</v>
      </c>
      <c r="J21" s="257">
        <v>0</v>
      </c>
      <c r="K21" s="257">
        <v>0</v>
      </c>
      <c r="L21" s="53">
        <f>+Inputs!J21</f>
        <v>0</v>
      </c>
      <c r="M21" s="53">
        <f>+Inputs!M21</f>
        <v>19</v>
      </c>
      <c r="N21" s="53">
        <f t="shared" si="5"/>
        <v>21070336.569929995</v>
      </c>
      <c r="O21" s="37">
        <f t="shared" si="0"/>
        <v>127444.87492999434</v>
      </c>
      <c r="P21" s="45">
        <f t="shared" si="1"/>
        <v>6.0853523374912507E-3</v>
      </c>
      <c r="Q21" s="12">
        <f t="shared" si="2"/>
        <v>6.0853523374912507E-3</v>
      </c>
      <c r="R21" s="12"/>
      <c r="S21" t="s">
        <v>6</v>
      </c>
      <c r="T21" s="113">
        <v>421184.08835954173</v>
      </c>
      <c r="U21" s="113">
        <v>52456.899630741755</v>
      </c>
      <c r="V21" s="113">
        <v>8.0291456667162944</v>
      </c>
      <c r="W21" s="113">
        <v>7.8938776359641301E-13</v>
      </c>
      <c r="X21" s="113">
        <v>317314.18788139574</v>
      </c>
      <c r="Y21" s="113">
        <v>525053.98883768776</v>
      </c>
      <c r="Z21" s="113">
        <v>317314.18788139574</v>
      </c>
      <c r="AA21" s="113">
        <v>525053.98883768776</v>
      </c>
    </row>
    <row r="22" spans="1:27" x14ac:dyDescent="0.2">
      <c r="A22" s="3" t="str">
        <f t="shared" si="3"/>
        <v>20148</v>
      </c>
      <c r="B22" s="49">
        <f t="shared" si="4"/>
        <v>2014</v>
      </c>
      <c r="C22" s="52">
        <v>41882</v>
      </c>
      <c r="D22" s="53">
        <f>+Inputs!D22</f>
        <v>20954818.989999998</v>
      </c>
      <c r="E22" s="53">
        <f>VLOOKUP(A22,'[11]HDD CDD Summary'!$R:$T,2,FALSE)</f>
        <v>8.7999999999999989</v>
      </c>
      <c r="F22" s="53">
        <f>VLOOKUP(A22,'[11]HDD CDD Summary'!$R:$T,3,FALSE)</f>
        <v>81.799999999999983</v>
      </c>
      <c r="G22" s="53">
        <f>+Inputs!G22</f>
        <v>31</v>
      </c>
      <c r="H22" s="105">
        <f t="shared" si="6"/>
        <v>0</v>
      </c>
      <c r="I22" s="53">
        <f>+Inputs!I22</f>
        <v>336</v>
      </c>
      <c r="J22" s="257">
        <v>0</v>
      </c>
      <c r="K22" s="257">
        <v>0</v>
      </c>
      <c r="L22" s="53">
        <f>+Inputs!J22</f>
        <v>0</v>
      </c>
      <c r="M22" s="53">
        <f>+Inputs!M22</f>
        <v>20</v>
      </c>
      <c r="N22" s="53">
        <f t="shared" si="5"/>
        <v>21195861.16191439</v>
      </c>
      <c r="O22" s="37">
        <f t="shared" si="0"/>
        <v>241042.17191439122</v>
      </c>
      <c r="P22" s="45">
        <f t="shared" si="1"/>
        <v>1.1502946984625385E-2</v>
      </c>
      <c r="Q22" s="12">
        <f t="shared" si="2"/>
        <v>1.1502946984625385E-2</v>
      </c>
      <c r="R22" s="12"/>
      <c r="S22" t="s">
        <v>18</v>
      </c>
      <c r="T22" s="113">
        <v>-536113.80742429639</v>
      </c>
      <c r="U22" s="113">
        <v>127428.21014693625</v>
      </c>
      <c r="V22" s="113">
        <v>-4.2071830625738889</v>
      </c>
      <c r="W22" s="113">
        <v>5.039702188395719E-5</v>
      </c>
      <c r="X22" s="113">
        <v>-788434.39059337415</v>
      </c>
      <c r="Y22" s="113">
        <v>-283793.22425521864</v>
      </c>
      <c r="Z22" s="113">
        <v>-788434.39059337415</v>
      </c>
      <c r="AA22" s="113">
        <v>-283793.22425521864</v>
      </c>
    </row>
    <row r="23" spans="1:27" x14ac:dyDescent="0.2">
      <c r="A23" s="3" t="str">
        <f t="shared" si="3"/>
        <v>20149</v>
      </c>
      <c r="B23" s="49">
        <f t="shared" si="4"/>
        <v>2014</v>
      </c>
      <c r="C23" s="52">
        <v>41912</v>
      </c>
      <c r="D23" s="53">
        <f>+Inputs!D23</f>
        <v>20036155.765000001</v>
      </c>
      <c r="E23" s="53">
        <f>VLOOKUP(A23,'[11]HDD CDD Summary'!$R:$T,2,FALSE)</f>
        <v>69.700000000000017</v>
      </c>
      <c r="F23" s="53">
        <f>VLOOKUP(A23,'[11]HDD CDD Summary'!$R:$T,3,FALSE)</f>
        <v>30.099999999999998</v>
      </c>
      <c r="G23" s="53">
        <f>+Inputs!G23</f>
        <v>30</v>
      </c>
      <c r="H23" s="105">
        <f t="shared" si="6"/>
        <v>0.33333333333333331</v>
      </c>
      <c r="I23" s="53">
        <f>+Inputs!I23</f>
        <v>336</v>
      </c>
      <c r="J23" s="257">
        <v>0</v>
      </c>
      <c r="K23" s="257">
        <v>0</v>
      </c>
      <c r="L23" s="53">
        <f>+Inputs!J23</f>
        <v>0</v>
      </c>
      <c r="M23" s="53">
        <f>+Inputs!M23</f>
        <v>21</v>
      </c>
      <c r="N23" s="53">
        <f t="shared" si="5"/>
        <v>19702951.716429286</v>
      </c>
      <c r="O23" s="37">
        <f t="shared" si="0"/>
        <v>-333204.04857071489</v>
      </c>
      <c r="P23" s="45">
        <f t="shared" si="1"/>
        <v>-1.6630138659271643E-2</v>
      </c>
      <c r="Q23" s="12">
        <f t="shared" si="2"/>
        <v>1.6630138659271643E-2</v>
      </c>
      <c r="R23" s="12"/>
      <c r="S23" t="s">
        <v>7</v>
      </c>
      <c r="T23" s="113">
        <v>11189.535972602769</v>
      </c>
      <c r="U23" s="113">
        <v>2439.0467665497476</v>
      </c>
      <c r="V23" s="113">
        <v>4.5876676601947164</v>
      </c>
      <c r="W23" s="113">
        <v>1.117480938233171E-5</v>
      </c>
      <c r="X23" s="113">
        <v>6359.9797714849083</v>
      </c>
      <c r="Y23" s="113">
        <v>16019.09217372063</v>
      </c>
      <c r="Z23" s="113">
        <v>6359.9797714849083</v>
      </c>
      <c r="AA23" s="113">
        <v>16019.09217372063</v>
      </c>
    </row>
    <row r="24" spans="1:27" x14ac:dyDescent="0.2">
      <c r="A24" s="3" t="str">
        <f t="shared" si="3"/>
        <v>201410</v>
      </c>
      <c r="B24" s="49">
        <f t="shared" si="4"/>
        <v>2014</v>
      </c>
      <c r="C24" s="52">
        <v>41943</v>
      </c>
      <c r="D24" s="53">
        <f>+Inputs!D24</f>
        <v>20750967.593591224</v>
      </c>
      <c r="E24" s="53">
        <f>VLOOKUP(A24,'[11]HDD CDD Summary'!$R:$T,2,FALSE)</f>
        <v>224.30000000000004</v>
      </c>
      <c r="F24" s="53">
        <f>VLOOKUP(A24,'[11]HDD CDD Summary'!$R:$T,3,FALSE)</f>
        <v>1.3</v>
      </c>
      <c r="G24" s="53">
        <f>+Inputs!G24</f>
        <v>31</v>
      </c>
      <c r="H24" s="105">
        <f t="shared" si="6"/>
        <v>1</v>
      </c>
      <c r="I24" s="53">
        <f>+Inputs!I24</f>
        <v>352</v>
      </c>
      <c r="J24" s="257">
        <v>0</v>
      </c>
      <c r="K24" s="257">
        <v>0</v>
      </c>
      <c r="L24" s="53">
        <f>+Inputs!J24</f>
        <v>0</v>
      </c>
      <c r="M24" s="53">
        <f>+Inputs!M24</f>
        <v>22</v>
      </c>
      <c r="N24" s="53">
        <f t="shared" si="5"/>
        <v>20151416.288183749</v>
      </c>
      <c r="O24" s="37">
        <f t="shared" si="0"/>
        <v>-599551.30540747568</v>
      </c>
      <c r="P24" s="45">
        <f t="shared" si="1"/>
        <v>-2.8892691519244743E-2</v>
      </c>
      <c r="Q24" s="12">
        <f t="shared" si="2"/>
        <v>2.8892691519244743E-2</v>
      </c>
      <c r="R24" s="12"/>
      <c r="S24" t="s">
        <v>288</v>
      </c>
      <c r="T24" s="113">
        <v>-37386.467023977246</v>
      </c>
      <c r="U24" s="113">
        <v>118125.91064410689</v>
      </c>
      <c r="V24" s="113">
        <v>-0.31649675181439457</v>
      </c>
      <c r="W24" s="113">
        <v>0.75218000446036948</v>
      </c>
      <c r="X24" s="113">
        <v>-271287.56809673714</v>
      </c>
      <c r="Y24" s="113">
        <v>196514.63404878264</v>
      </c>
      <c r="Z24" s="113">
        <v>-271287.56809673714</v>
      </c>
      <c r="AA24" s="113">
        <v>196514.63404878264</v>
      </c>
    </row>
    <row r="25" spans="1:27" x14ac:dyDescent="0.2">
      <c r="A25" s="3" t="str">
        <f t="shared" si="3"/>
        <v>201411</v>
      </c>
      <c r="B25" s="49">
        <f t="shared" si="4"/>
        <v>2014</v>
      </c>
      <c r="C25" s="52">
        <v>41973</v>
      </c>
      <c r="D25" s="53">
        <f>+Inputs!D25</f>
        <v>21634719.905000001</v>
      </c>
      <c r="E25" s="53">
        <f>VLOOKUP(A25,'[11]HDD CDD Summary'!$R:$T,2,FALSE)</f>
        <v>482.1</v>
      </c>
      <c r="F25" s="53">
        <f>VLOOKUP(A25,'[11]HDD CDD Summary'!$R:$T,3,FALSE)</f>
        <v>0</v>
      </c>
      <c r="G25" s="53">
        <f>+Inputs!G25</f>
        <v>30</v>
      </c>
      <c r="H25" s="105">
        <f t="shared" si="6"/>
        <v>1</v>
      </c>
      <c r="I25" s="53">
        <f>+Inputs!I25</f>
        <v>320</v>
      </c>
      <c r="J25" s="257">
        <v>0</v>
      </c>
      <c r="K25" s="257">
        <v>0</v>
      </c>
      <c r="L25" s="53">
        <f>+Inputs!J25</f>
        <v>0</v>
      </c>
      <c r="M25" s="53">
        <f>+Inputs!M25</f>
        <v>23</v>
      </c>
      <c r="N25" s="53">
        <f t="shared" si="5"/>
        <v>20843358.458646458</v>
      </c>
      <c r="O25" s="37">
        <f t="shared" si="0"/>
        <v>-791361.44635354355</v>
      </c>
      <c r="P25" s="45">
        <f t="shared" si="1"/>
        <v>-3.657830791563204E-2</v>
      </c>
      <c r="Q25" s="12">
        <f t="shared" si="2"/>
        <v>3.657830791563204E-2</v>
      </c>
      <c r="R25" s="12"/>
      <c r="S25" t="s">
        <v>287</v>
      </c>
      <c r="T25" s="113">
        <v>407469.95693033712</v>
      </c>
      <c r="U25" s="113">
        <v>151968.42002560635</v>
      </c>
      <c r="V25" s="113">
        <v>2.6812804717037877</v>
      </c>
      <c r="W25" s="113">
        <v>8.3756336643793332E-3</v>
      </c>
      <c r="X25" s="113">
        <v>106557.3072122772</v>
      </c>
      <c r="Y25" s="113">
        <v>708382.60664839705</v>
      </c>
      <c r="Z25" s="113">
        <v>106557.3072122772</v>
      </c>
      <c r="AA25" s="113">
        <v>708382.60664839705</v>
      </c>
    </row>
    <row r="26" spans="1:27" x14ac:dyDescent="0.2">
      <c r="A26" s="3" t="str">
        <f t="shared" si="3"/>
        <v>201412</v>
      </c>
      <c r="B26" s="49">
        <f t="shared" si="4"/>
        <v>2014</v>
      </c>
      <c r="C26" s="52">
        <v>42004</v>
      </c>
      <c r="D26" s="53">
        <f>+Inputs!D26</f>
        <v>22349924.59</v>
      </c>
      <c r="E26" s="53">
        <f>VLOOKUP(A26,'[11]HDD CDD Summary'!$R:$T,2,FALSE)</f>
        <v>557.29999999999995</v>
      </c>
      <c r="F26" s="53">
        <f>VLOOKUP(A26,'[11]HDD CDD Summary'!$R:$T,3,FALSE)</f>
        <v>0</v>
      </c>
      <c r="G26" s="53">
        <f>+Inputs!G26</f>
        <v>31</v>
      </c>
      <c r="H26" s="105">
        <f t="shared" si="6"/>
        <v>0.66666666666666663</v>
      </c>
      <c r="I26" s="53">
        <f>+Inputs!I26</f>
        <v>336</v>
      </c>
      <c r="J26" s="257">
        <v>0</v>
      </c>
      <c r="K26" s="257">
        <v>0</v>
      </c>
      <c r="L26" s="53">
        <f>+Inputs!J26</f>
        <v>0</v>
      </c>
      <c r="M26" s="53">
        <f>+Inputs!M26</f>
        <v>24</v>
      </c>
      <c r="N26" s="53">
        <f t="shared" si="5"/>
        <v>22070505.302236479</v>
      </c>
      <c r="O26" s="37">
        <f t="shared" si="0"/>
        <v>-279419.28776352108</v>
      </c>
      <c r="P26" s="45">
        <f t="shared" si="1"/>
        <v>-1.2502023737858216E-2</v>
      </c>
      <c r="Q26" s="12">
        <f t="shared" si="2"/>
        <v>1.2502023737858216E-2</v>
      </c>
      <c r="R26" s="12"/>
      <c r="S26" t="s">
        <v>145</v>
      </c>
      <c r="T26" s="113">
        <v>-2219461.8596619349</v>
      </c>
      <c r="U26" s="113">
        <v>431737.76511455531</v>
      </c>
      <c r="V26" s="113">
        <v>-5.1407637668042154</v>
      </c>
      <c r="W26" s="113">
        <v>1.0870144312508794E-6</v>
      </c>
      <c r="X26" s="113">
        <v>-3074345.7550270623</v>
      </c>
      <c r="Y26" s="113">
        <v>-1364577.9642968075</v>
      </c>
      <c r="Z26" s="113">
        <v>-3074345.7550270623</v>
      </c>
      <c r="AA26" s="113">
        <v>-1364577.9642968075</v>
      </c>
    </row>
    <row r="27" spans="1:27" ht="13.5" thickBot="1" x14ac:dyDescent="0.25">
      <c r="A27" s="3" t="str">
        <f t="shared" si="3"/>
        <v>20151</v>
      </c>
      <c r="B27" s="49">
        <f t="shared" si="4"/>
        <v>2015</v>
      </c>
      <c r="C27" s="52">
        <v>42035</v>
      </c>
      <c r="D27" s="53">
        <f>+Inputs!D27</f>
        <v>24334160.370000001</v>
      </c>
      <c r="E27" s="53">
        <f>VLOOKUP(A27,'[11]HDD CDD Summary'!$R:$T,2,FALSE)</f>
        <v>792.39999999999975</v>
      </c>
      <c r="F27" s="53">
        <f>VLOOKUP(A27,'[11]HDD CDD Summary'!$R:$T,3,FALSE)</f>
        <v>0</v>
      </c>
      <c r="G27" s="53">
        <f>+Inputs!G27</f>
        <v>31</v>
      </c>
      <c r="H27" s="105">
        <f t="shared" si="6"/>
        <v>0</v>
      </c>
      <c r="I27" s="53">
        <f>+Inputs!I27</f>
        <v>336</v>
      </c>
      <c r="J27" s="257">
        <v>0</v>
      </c>
      <c r="K27" s="257">
        <v>0</v>
      </c>
      <c r="L27" s="53">
        <f>+Inputs!J27</f>
        <v>0</v>
      </c>
      <c r="M27" s="53">
        <f>+Inputs!M27</f>
        <v>25</v>
      </c>
      <c r="N27" s="53">
        <f t="shared" si="5"/>
        <v>23799649.998225763</v>
      </c>
      <c r="O27" s="37">
        <f t="shared" si="0"/>
        <v>-534510.3717742376</v>
      </c>
      <c r="P27" s="45">
        <f t="shared" si="1"/>
        <v>-2.1965433105027143E-2</v>
      </c>
      <c r="Q27" s="12">
        <f t="shared" si="2"/>
        <v>2.1965433105027143E-2</v>
      </c>
      <c r="S27" s="90" t="s">
        <v>70</v>
      </c>
      <c r="T27" s="114">
        <v>13904.46699272733</v>
      </c>
      <c r="U27" s="114">
        <v>1279.3817839071648</v>
      </c>
      <c r="V27" s="114">
        <v>10.868113934109502</v>
      </c>
      <c r="W27" s="114">
        <v>1.5700706467555158E-19</v>
      </c>
      <c r="X27" s="114">
        <v>11371.16328047149</v>
      </c>
      <c r="Y27" s="114">
        <v>16437.77070498317</v>
      </c>
      <c r="Z27" s="114">
        <v>11371.16328047149</v>
      </c>
      <c r="AA27" s="114">
        <v>16437.77070498317</v>
      </c>
    </row>
    <row r="28" spans="1:27" x14ac:dyDescent="0.2">
      <c r="A28" s="3" t="str">
        <f t="shared" si="3"/>
        <v>20152</v>
      </c>
      <c r="B28" s="49">
        <f t="shared" si="4"/>
        <v>2015</v>
      </c>
      <c r="C28" s="52">
        <v>42063</v>
      </c>
      <c r="D28" s="53">
        <f>+Inputs!D28</f>
        <v>22733400.235000003</v>
      </c>
      <c r="E28" s="53">
        <f>VLOOKUP(A28,'[11]HDD CDD Summary'!$R:$T,2,FALSE)</f>
        <v>856.8</v>
      </c>
      <c r="F28" s="53">
        <f>VLOOKUP(A28,'[11]HDD CDD Summary'!$R:$T,3,FALSE)</f>
        <v>0</v>
      </c>
      <c r="G28" s="53">
        <f>+Inputs!G28</f>
        <v>28</v>
      </c>
      <c r="H28" s="105">
        <f t="shared" si="6"/>
        <v>0</v>
      </c>
      <c r="I28" s="53">
        <f>+Inputs!I28</f>
        <v>304</v>
      </c>
      <c r="J28" s="257">
        <v>0</v>
      </c>
      <c r="K28" s="257">
        <v>0</v>
      </c>
      <c r="L28" s="53">
        <f>+Inputs!J28</f>
        <v>0</v>
      </c>
      <c r="M28" s="53">
        <f>+Inputs!M28</f>
        <v>26</v>
      </c>
      <c r="N28" s="53">
        <f t="shared" si="5"/>
        <v>22563882.255093262</v>
      </c>
      <c r="O28" s="37">
        <f t="shared" si="0"/>
        <v>-169517.97990674153</v>
      </c>
      <c r="P28" s="45">
        <f t="shared" si="1"/>
        <v>-7.4567806907192957E-3</v>
      </c>
      <c r="Q28" s="12">
        <f t="shared" si="2"/>
        <v>7.4567806907192957E-3</v>
      </c>
      <c r="S28" s="259"/>
      <c r="T28" s="259"/>
      <c r="U28" s="259"/>
      <c r="V28" s="259"/>
      <c r="W28" s="259"/>
      <c r="X28" s="259"/>
      <c r="Y28" s="259"/>
      <c r="Z28" s="259"/>
      <c r="AA28" s="259"/>
    </row>
    <row r="29" spans="1:27" x14ac:dyDescent="0.2">
      <c r="A29" s="3" t="str">
        <f t="shared" si="3"/>
        <v>20153</v>
      </c>
      <c r="B29" s="49">
        <f t="shared" si="4"/>
        <v>2015</v>
      </c>
      <c r="C29" s="52">
        <v>42094</v>
      </c>
      <c r="D29" s="53">
        <f>+Inputs!D29</f>
        <v>22719770.995000001</v>
      </c>
      <c r="E29" s="53">
        <f>VLOOKUP(A29,'[11]HDD CDD Summary'!$R:$T,2,FALSE)</f>
        <v>615.49999999999989</v>
      </c>
      <c r="F29" s="53">
        <f>VLOOKUP(A29,'[11]HDD CDD Summary'!$R:$T,3,FALSE)</f>
        <v>0</v>
      </c>
      <c r="G29" s="53">
        <f>+Inputs!G29</f>
        <v>31</v>
      </c>
      <c r="H29" s="105">
        <f t="shared" si="6"/>
        <v>0.33333333333333331</v>
      </c>
      <c r="I29" s="53">
        <f>+Inputs!I29</f>
        <v>352</v>
      </c>
      <c r="J29" s="257">
        <v>0</v>
      </c>
      <c r="K29" s="257">
        <v>0</v>
      </c>
      <c r="L29" s="53">
        <f>+Inputs!J29</f>
        <v>0</v>
      </c>
      <c r="M29" s="53">
        <f>+Inputs!M29</f>
        <v>27</v>
      </c>
      <c r="N29" s="53">
        <f t="shared" si="5"/>
        <v>22806092.697922859</v>
      </c>
      <c r="O29" s="37">
        <f t="shared" si="0"/>
        <v>86321.702922858298</v>
      </c>
      <c r="P29" s="45">
        <f t="shared" si="1"/>
        <v>3.7994090231743684E-3</v>
      </c>
      <c r="Q29" s="12">
        <f t="shared" si="2"/>
        <v>3.7994090231743684E-3</v>
      </c>
      <c r="S29" s="259"/>
      <c r="T29" s="259"/>
      <c r="U29" s="259"/>
      <c r="V29" s="259"/>
      <c r="W29" s="259"/>
      <c r="X29" s="259"/>
      <c r="Y29" s="259"/>
      <c r="Z29" s="259"/>
      <c r="AA29" s="259"/>
    </row>
    <row r="30" spans="1:27" x14ac:dyDescent="0.2">
      <c r="A30" s="3" t="str">
        <f t="shared" si="3"/>
        <v>20154</v>
      </c>
      <c r="B30" s="49">
        <f t="shared" si="4"/>
        <v>2015</v>
      </c>
      <c r="C30" s="52">
        <v>42124</v>
      </c>
      <c r="D30" s="53">
        <f>+Inputs!D30</f>
        <v>19884327.555</v>
      </c>
      <c r="E30" s="53">
        <f>VLOOKUP(A30,'[11]HDD CDD Summary'!$R:$T,2,FALSE)</f>
        <v>313.7</v>
      </c>
      <c r="F30" s="53">
        <f>VLOOKUP(A30,'[11]HDD CDD Summary'!$R:$T,3,FALSE)</f>
        <v>0</v>
      </c>
      <c r="G30" s="53">
        <f>+Inputs!G30</f>
        <v>30</v>
      </c>
      <c r="H30" s="105">
        <f t="shared" si="6"/>
        <v>1</v>
      </c>
      <c r="I30" s="53">
        <f>+Inputs!I30</f>
        <v>336</v>
      </c>
      <c r="J30" s="257">
        <v>0</v>
      </c>
      <c r="K30" s="257">
        <v>0</v>
      </c>
      <c r="L30" s="53">
        <f>+Inputs!J30</f>
        <v>0</v>
      </c>
      <c r="M30" s="53">
        <f>+Inputs!M30</f>
        <v>28</v>
      </c>
      <c r="N30" s="53">
        <f t="shared" si="5"/>
        <v>20119311.30856128</v>
      </c>
      <c r="O30" s="37">
        <f t="shared" si="0"/>
        <v>234983.75356128067</v>
      </c>
      <c r="P30" s="45">
        <f t="shared" si="1"/>
        <v>1.1817535841295926E-2</v>
      </c>
      <c r="Q30" s="12">
        <f t="shared" si="2"/>
        <v>1.1817535841295926E-2</v>
      </c>
    </row>
    <row r="31" spans="1:27" x14ac:dyDescent="0.2">
      <c r="A31" s="3" t="str">
        <f t="shared" si="3"/>
        <v>20155</v>
      </c>
      <c r="B31" s="49">
        <f t="shared" si="4"/>
        <v>2015</v>
      </c>
      <c r="C31" s="52">
        <v>42155</v>
      </c>
      <c r="D31" s="53">
        <f>+Inputs!D31</f>
        <v>20081857.650000002</v>
      </c>
      <c r="E31" s="53">
        <f>VLOOKUP(A31,'[11]HDD CDD Summary'!$R:$T,2,FALSE)</f>
        <v>89.3</v>
      </c>
      <c r="F31" s="53">
        <f>VLOOKUP(A31,'[11]HDD CDD Summary'!$R:$T,3,FALSE)</f>
        <v>34.1</v>
      </c>
      <c r="G31" s="53">
        <f>+Inputs!G31</f>
        <v>31</v>
      </c>
      <c r="H31" s="105">
        <f t="shared" si="6"/>
        <v>1</v>
      </c>
      <c r="I31" s="53">
        <f>+Inputs!I31</f>
        <v>320</v>
      </c>
      <c r="J31" s="257">
        <v>0</v>
      </c>
      <c r="K31" s="257">
        <v>0</v>
      </c>
      <c r="L31" s="53">
        <f>+Inputs!J31</f>
        <v>0</v>
      </c>
      <c r="M31" s="53">
        <f>+Inputs!M31</f>
        <v>29</v>
      </c>
      <c r="N31" s="53">
        <f t="shared" si="5"/>
        <v>19909511.984926421</v>
      </c>
      <c r="O31" s="37">
        <f t="shared" si="0"/>
        <v>-172345.66507358104</v>
      </c>
      <c r="P31" s="45">
        <f t="shared" si="1"/>
        <v>-8.5821574914699689E-3</v>
      </c>
      <c r="Q31" s="12">
        <f t="shared" si="2"/>
        <v>8.5821574914699689E-3</v>
      </c>
      <c r="S31" s="47" t="s">
        <v>275</v>
      </c>
    </row>
    <row r="32" spans="1:27" x14ac:dyDescent="0.2">
      <c r="A32" s="3" t="str">
        <f t="shared" si="3"/>
        <v>20156</v>
      </c>
      <c r="B32" s="49">
        <f t="shared" si="4"/>
        <v>2015</v>
      </c>
      <c r="C32" s="52">
        <v>42185</v>
      </c>
      <c r="D32" s="53">
        <f>+Inputs!D32</f>
        <v>19967931.074999999</v>
      </c>
      <c r="E32" s="53">
        <f>VLOOKUP(A32,'[11]HDD CDD Summary'!$R:$T,2,FALSE)</f>
        <v>33.800000000000004</v>
      </c>
      <c r="F32" s="53">
        <f>VLOOKUP(A32,'[11]HDD CDD Summary'!$R:$T,3,FALSE)</f>
        <v>32.299999999999997</v>
      </c>
      <c r="G32" s="53">
        <f>+Inputs!G32</f>
        <v>30</v>
      </c>
      <c r="H32" s="105">
        <f t="shared" si="6"/>
        <v>0.66666666666666663</v>
      </c>
      <c r="I32" s="53">
        <f>+Inputs!I32</f>
        <v>352</v>
      </c>
      <c r="J32" s="257">
        <v>0</v>
      </c>
      <c r="K32" s="257">
        <v>0</v>
      </c>
      <c r="L32" s="53">
        <f>+Inputs!J32</f>
        <v>0</v>
      </c>
      <c r="M32" s="53">
        <f>+Inputs!M32</f>
        <v>30</v>
      </c>
      <c r="N32" s="53">
        <f t="shared" si="5"/>
        <v>19674637.597100716</v>
      </c>
      <c r="O32" s="37">
        <f t="shared" si="0"/>
        <v>-293293.47789928317</v>
      </c>
      <c r="P32" s="45">
        <f t="shared" si="1"/>
        <v>-1.4688225675342441E-2</v>
      </c>
      <c r="Q32" s="12">
        <f t="shared" si="2"/>
        <v>1.4688225675342441E-2</v>
      </c>
      <c r="S32" t="s">
        <v>19</v>
      </c>
    </row>
    <row r="33" spans="1:27" x14ac:dyDescent="0.2">
      <c r="A33" s="3" t="str">
        <f t="shared" si="3"/>
        <v>20157</v>
      </c>
      <c r="B33" s="49">
        <f t="shared" si="4"/>
        <v>2015</v>
      </c>
      <c r="C33" s="52">
        <v>42216</v>
      </c>
      <c r="D33" s="53">
        <f>+Inputs!D33</f>
        <v>22033398.199999999</v>
      </c>
      <c r="E33" s="53">
        <f>VLOOKUP(A33,'[11]HDD CDD Summary'!$R:$T,2,FALSE)</f>
        <v>4</v>
      </c>
      <c r="F33" s="53">
        <f>VLOOKUP(A33,'[11]HDD CDD Summary'!$R:$T,3,FALSE)</f>
        <v>114.29999999999998</v>
      </c>
      <c r="G33" s="53">
        <f>+Inputs!G33</f>
        <v>31</v>
      </c>
      <c r="H33" s="105">
        <f t="shared" si="6"/>
        <v>0</v>
      </c>
      <c r="I33" s="53">
        <f>+Inputs!I33</f>
        <v>352</v>
      </c>
      <c r="J33" s="257">
        <v>0</v>
      </c>
      <c r="K33" s="257">
        <v>0</v>
      </c>
      <c r="L33" s="53">
        <f>+Inputs!J33</f>
        <v>0</v>
      </c>
      <c r="M33" s="53">
        <f>+Inputs!M33</f>
        <v>31</v>
      </c>
      <c r="N33" s="53">
        <f t="shared" si="5"/>
        <v>22291345.017579716</v>
      </c>
      <c r="O33" s="37">
        <f t="shared" si="0"/>
        <v>257946.81757971644</v>
      </c>
      <c r="P33" s="45">
        <f t="shared" si="1"/>
        <v>1.1707082822100336E-2</v>
      </c>
      <c r="Q33" s="12">
        <f t="shared" si="2"/>
        <v>1.1707082822100336E-2</v>
      </c>
      <c r="R33"/>
    </row>
    <row r="34" spans="1:27" x14ac:dyDescent="0.2">
      <c r="A34" s="3" t="str">
        <f t="shared" si="3"/>
        <v>20158</v>
      </c>
      <c r="B34" s="49">
        <f t="shared" si="4"/>
        <v>2015</v>
      </c>
      <c r="C34" s="52">
        <v>42247</v>
      </c>
      <c r="D34" s="53">
        <f>+Inputs!D34</f>
        <v>21201546.775000002</v>
      </c>
      <c r="E34" s="53">
        <f>VLOOKUP(A34,'[11]HDD CDD Summary'!$R:$T,2,FALSE)</f>
        <v>4.4000000000000004</v>
      </c>
      <c r="F34" s="53">
        <f>VLOOKUP(A34,'[11]HDD CDD Summary'!$R:$T,3,FALSE)</f>
        <v>88.6</v>
      </c>
      <c r="G34" s="53">
        <f>+Inputs!G34</f>
        <v>31</v>
      </c>
      <c r="H34" s="105">
        <f t="shared" si="6"/>
        <v>0</v>
      </c>
      <c r="I34" s="53">
        <f>+Inputs!I34</f>
        <v>336</v>
      </c>
      <c r="J34" s="257">
        <v>0</v>
      </c>
      <c r="K34" s="257">
        <v>0</v>
      </c>
      <c r="L34" s="53">
        <f>+Inputs!J34</f>
        <v>0</v>
      </c>
      <c r="M34" s="53">
        <f>+Inputs!M34</f>
        <v>32</v>
      </c>
      <c r="N34" s="53">
        <f t="shared" si="5"/>
        <v>21502850.92712687</v>
      </c>
      <c r="O34" s="37">
        <f t="shared" si="0"/>
        <v>301304.15212686732</v>
      </c>
      <c r="P34" s="45">
        <f t="shared" si="1"/>
        <v>1.4211423125135044E-2</v>
      </c>
      <c r="Q34" s="12">
        <f t="shared" si="2"/>
        <v>1.4211423125135044E-2</v>
      </c>
      <c r="R34"/>
      <c r="S34" s="76" t="s">
        <v>20</v>
      </c>
      <c r="T34" s="76"/>
    </row>
    <row r="35" spans="1:27" x14ac:dyDescent="0.2">
      <c r="A35" s="3" t="str">
        <f t="shared" si="3"/>
        <v>20159</v>
      </c>
      <c r="B35" s="49">
        <f t="shared" si="4"/>
        <v>2015</v>
      </c>
      <c r="C35" s="52">
        <v>42277</v>
      </c>
      <c r="D35" s="53">
        <f>+Inputs!D35</f>
        <v>21227652.564999998</v>
      </c>
      <c r="E35" s="53">
        <f>VLOOKUP(A35,'[11]HDD CDD Summary'!$R:$T,2,FALSE)</f>
        <v>31.099999999999994</v>
      </c>
      <c r="F35" s="53">
        <f>VLOOKUP(A35,'[11]HDD CDD Summary'!$R:$T,3,FALSE)</f>
        <v>81.900000000000006</v>
      </c>
      <c r="G35" s="53">
        <f>+Inputs!G35</f>
        <v>30</v>
      </c>
      <c r="H35" s="105">
        <f t="shared" si="6"/>
        <v>0.33333333333333331</v>
      </c>
      <c r="I35" s="53">
        <f>+Inputs!I35</f>
        <v>336</v>
      </c>
      <c r="J35" s="257">
        <v>0</v>
      </c>
      <c r="K35" s="257">
        <v>0</v>
      </c>
      <c r="L35" s="53">
        <f>+Inputs!J35</f>
        <v>0</v>
      </c>
      <c r="M35" s="53">
        <f>+Inputs!M35</f>
        <v>33</v>
      </c>
      <c r="N35" s="53">
        <f t="shared" si="5"/>
        <v>20907959.770654958</v>
      </c>
      <c r="O35" s="37">
        <f t="shared" ref="O35:O66" si="7">N35-D35</f>
        <v>-319692.79434503987</v>
      </c>
      <c r="P35" s="45">
        <f t="shared" ref="P35:P66" si="8">O35/D35</f>
        <v>-1.5060204766689421E-2</v>
      </c>
      <c r="Q35" s="12">
        <f t="shared" si="2"/>
        <v>1.5060204766689421E-2</v>
      </c>
      <c r="R35"/>
      <c r="S35" t="s">
        <v>21</v>
      </c>
      <c r="T35" s="112">
        <v>0.95903034844094093</v>
      </c>
    </row>
    <row r="36" spans="1:27" x14ac:dyDescent="0.2">
      <c r="A36" s="3" t="str">
        <f t="shared" si="3"/>
        <v>201510</v>
      </c>
      <c r="B36" s="49">
        <f t="shared" si="4"/>
        <v>2015</v>
      </c>
      <c r="C36" s="52">
        <v>42308</v>
      </c>
      <c r="D36" s="53">
        <f>+Inputs!D36</f>
        <v>20191537.286509268</v>
      </c>
      <c r="E36" s="53">
        <f>VLOOKUP(A36,'[11]HDD CDD Summary'!$R:$T,2,FALSE)</f>
        <v>249.8</v>
      </c>
      <c r="F36" s="53">
        <f>VLOOKUP(A36,'[11]HDD CDD Summary'!$R:$T,3,FALSE)</f>
        <v>0</v>
      </c>
      <c r="G36" s="53">
        <f>+Inputs!G36</f>
        <v>31</v>
      </c>
      <c r="H36" s="105">
        <f t="shared" si="6"/>
        <v>1</v>
      </c>
      <c r="I36" s="53">
        <f>+Inputs!I36</f>
        <v>336</v>
      </c>
      <c r="J36" s="257">
        <v>0</v>
      </c>
      <c r="K36" s="257">
        <v>0</v>
      </c>
      <c r="L36" s="53">
        <f>+Inputs!J36</f>
        <v>0</v>
      </c>
      <c r="M36" s="53">
        <f>+Inputs!M36</f>
        <v>34</v>
      </c>
      <c r="N36" s="53">
        <f t="shared" si="5"/>
        <v>20254864.766139608</v>
      </c>
      <c r="O36" s="37">
        <f t="shared" si="7"/>
        <v>63327.479630339891</v>
      </c>
      <c r="P36" s="45">
        <f t="shared" si="8"/>
        <v>3.1363377008768612E-3</v>
      </c>
      <c r="Q36" s="12">
        <f t="shared" si="2"/>
        <v>3.1363377008768612E-3</v>
      </c>
      <c r="R36"/>
      <c r="S36" t="s">
        <v>22</v>
      </c>
      <c r="T36" s="112">
        <v>0.91973920923075259</v>
      </c>
    </row>
    <row r="37" spans="1:27" x14ac:dyDescent="0.2">
      <c r="A37" s="3" t="str">
        <f t="shared" si="3"/>
        <v>201511</v>
      </c>
      <c r="B37" s="49">
        <f t="shared" si="4"/>
        <v>2015</v>
      </c>
      <c r="C37" s="52">
        <v>42338</v>
      </c>
      <c r="D37" s="53">
        <f>+Inputs!D37</f>
        <v>20615659.954999998</v>
      </c>
      <c r="E37" s="53">
        <f>VLOOKUP(A37,'[11]HDD CDD Summary'!$R:$T,2,FALSE)</f>
        <v>345</v>
      </c>
      <c r="F37" s="53">
        <f>VLOOKUP(A37,'[11]HDD CDD Summary'!$R:$T,3,FALSE)</f>
        <v>0</v>
      </c>
      <c r="G37" s="53">
        <f>+Inputs!G37</f>
        <v>30</v>
      </c>
      <c r="H37" s="105">
        <f t="shared" si="6"/>
        <v>1</v>
      </c>
      <c r="I37" s="53">
        <f>+Inputs!I37</f>
        <v>336</v>
      </c>
      <c r="J37" s="257">
        <v>0</v>
      </c>
      <c r="K37" s="257">
        <v>0</v>
      </c>
      <c r="L37" s="53">
        <f>+Inputs!J37</f>
        <v>0</v>
      </c>
      <c r="M37" s="53">
        <f>+Inputs!M37</f>
        <v>35</v>
      </c>
      <c r="N37" s="53">
        <f t="shared" si="5"/>
        <v>20397417.188538324</v>
      </c>
      <c r="O37" s="37">
        <f t="shared" si="7"/>
        <v>-218242.76646167412</v>
      </c>
      <c r="P37" s="45">
        <f t="shared" si="8"/>
        <v>-1.058626146036828E-2</v>
      </c>
      <c r="Q37" s="12">
        <f t="shared" si="2"/>
        <v>1.058626146036828E-2</v>
      </c>
      <c r="R37"/>
      <c r="S37" t="s">
        <v>23</v>
      </c>
      <c r="T37" s="112">
        <v>0.9150960229879036</v>
      </c>
    </row>
    <row r="38" spans="1:27" x14ac:dyDescent="0.2">
      <c r="A38" s="3" t="str">
        <f t="shared" si="3"/>
        <v>201512</v>
      </c>
      <c r="B38" s="49">
        <f t="shared" si="4"/>
        <v>2015</v>
      </c>
      <c r="C38" s="52">
        <v>42369</v>
      </c>
      <c r="D38" s="53">
        <f>+Inputs!D38</f>
        <v>21383445.974999998</v>
      </c>
      <c r="E38" s="53">
        <f>VLOOKUP(A38,'[11]HDD CDD Summary'!$R:$T,2,FALSE)</f>
        <v>429.70000000000005</v>
      </c>
      <c r="F38" s="53">
        <f>VLOOKUP(A38,'[11]HDD CDD Summary'!$R:$T,3,FALSE)</f>
        <v>0</v>
      </c>
      <c r="G38" s="53">
        <f>+Inputs!G38</f>
        <v>31</v>
      </c>
      <c r="H38" s="105">
        <f t="shared" si="6"/>
        <v>0.66666666666666663</v>
      </c>
      <c r="I38" s="53">
        <f>+Inputs!I38</f>
        <v>336</v>
      </c>
      <c r="J38" s="257">
        <v>0</v>
      </c>
      <c r="K38" s="257">
        <v>0</v>
      </c>
      <c r="L38" s="53">
        <f>+Inputs!J38</f>
        <v>0</v>
      </c>
      <c r="M38" s="53">
        <f>+Inputs!M38</f>
        <v>36</v>
      </c>
      <c r="N38" s="53">
        <f t="shared" si="5"/>
        <v>21500399.150009692</v>
      </c>
      <c r="O38" s="37">
        <f t="shared" si="7"/>
        <v>116953.17500969395</v>
      </c>
      <c r="P38" s="45">
        <f t="shared" si="8"/>
        <v>5.4693324521420577E-3</v>
      </c>
      <c r="Q38" s="12">
        <f t="shared" si="2"/>
        <v>5.4693324521420577E-3</v>
      </c>
      <c r="R38"/>
      <c r="S38" t="s">
        <v>24</v>
      </c>
      <c r="T38" s="113">
        <v>430732.82162045367</v>
      </c>
    </row>
    <row r="39" spans="1:27" ht="13.5" thickBot="1" x14ac:dyDescent="0.25">
      <c r="A39" s="3" t="str">
        <f t="shared" si="3"/>
        <v>20161</v>
      </c>
      <c r="B39" s="49">
        <f t="shared" si="4"/>
        <v>2016</v>
      </c>
      <c r="C39" s="52">
        <v>42400</v>
      </c>
      <c r="D39" s="53">
        <f>+Inputs!D39</f>
        <v>23561827.41</v>
      </c>
      <c r="E39" s="53">
        <f>VLOOKUP(A39,'[11]HDD CDD Summary'!$R:$T,2,FALSE)</f>
        <v>670.4</v>
      </c>
      <c r="F39" s="53">
        <f>VLOOKUP(A39,'[11]HDD CDD Summary'!$R:$T,3,FALSE)</f>
        <v>0</v>
      </c>
      <c r="G39" s="53">
        <f>+Inputs!G39</f>
        <v>31</v>
      </c>
      <c r="H39" s="105">
        <f t="shared" si="6"/>
        <v>0</v>
      </c>
      <c r="I39" s="53">
        <f>+Inputs!I39</f>
        <v>320</v>
      </c>
      <c r="J39" s="257">
        <v>0</v>
      </c>
      <c r="K39" s="257">
        <v>0</v>
      </c>
      <c r="L39" s="53">
        <f>+Inputs!J39</f>
        <v>0</v>
      </c>
      <c r="M39" s="53">
        <f>+Inputs!M39</f>
        <v>37</v>
      </c>
      <c r="N39" s="53">
        <f t="shared" si="5"/>
        <v>23082854.331835303</v>
      </c>
      <c r="O39" s="37">
        <f t="shared" si="7"/>
        <v>-478973.07816469669</v>
      </c>
      <c r="P39" s="45">
        <f t="shared" si="8"/>
        <v>-2.0328350166991426E-2</v>
      </c>
      <c r="Q39" s="12">
        <f t="shared" si="2"/>
        <v>2.0328350166991426E-2</v>
      </c>
      <c r="R39"/>
      <c r="S39" s="90" t="s">
        <v>25</v>
      </c>
      <c r="T39" s="90">
        <v>129</v>
      </c>
    </row>
    <row r="40" spans="1:27" x14ac:dyDescent="0.2">
      <c r="A40" s="3" t="str">
        <f t="shared" si="3"/>
        <v>20162</v>
      </c>
      <c r="B40" s="49">
        <f t="shared" si="4"/>
        <v>2016</v>
      </c>
      <c r="C40" s="52">
        <v>42429</v>
      </c>
      <c r="D40" s="53">
        <f>+Inputs!D40</f>
        <v>21655030.84</v>
      </c>
      <c r="E40" s="53">
        <f>VLOOKUP(A40,'[11]HDD CDD Summary'!$R:$T,2,FALSE)</f>
        <v>588.4</v>
      </c>
      <c r="F40" s="53">
        <f>VLOOKUP(A40,'[11]HDD CDD Summary'!$R:$T,3,FALSE)</f>
        <v>0</v>
      </c>
      <c r="G40" s="53">
        <f>+Inputs!G40</f>
        <v>29</v>
      </c>
      <c r="H40" s="105">
        <f t="shared" si="6"/>
        <v>0</v>
      </c>
      <c r="I40" s="53">
        <f>+Inputs!I40</f>
        <v>320</v>
      </c>
      <c r="J40" s="257">
        <v>0</v>
      </c>
      <c r="K40" s="257">
        <v>0</v>
      </c>
      <c r="L40" s="53">
        <f>+Inputs!J40</f>
        <v>0</v>
      </c>
      <c r="M40" s="53">
        <f>+Inputs!M40</f>
        <v>38</v>
      </c>
      <c r="N40" s="53">
        <f t="shared" si="5"/>
        <v>21780795.79449578</v>
      </c>
      <c r="O40" s="37">
        <f t="shared" si="7"/>
        <v>125764.95449578017</v>
      </c>
      <c r="P40" s="45">
        <f t="shared" si="8"/>
        <v>5.8076552938208688E-3</v>
      </c>
      <c r="Q40" s="12">
        <f t="shared" si="2"/>
        <v>5.8076552938208688E-3</v>
      </c>
      <c r="R40"/>
    </row>
    <row r="41" spans="1:27" x14ac:dyDescent="0.2">
      <c r="A41" s="3" t="str">
        <f t="shared" si="3"/>
        <v>20163</v>
      </c>
      <c r="B41" s="49">
        <f t="shared" si="4"/>
        <v>2016</v>
      </c>
      <c r="C41" s="52">
        <v>42460</v>
      </c>
      <c r="D41" s="53">
        <f>+Inputs!D41</f>
        <v>21636172.899999999</v>
      </c>
      <c r="E41" s="53">
        <f>VLOOKUP(A41,'[11]HDD CDD Summary'!$R:$T,2,FALSE)</f>
        <v>476.0999999999998</v>
      </c>
      <c r="F41" s="53">
        <f>VLOOKUP(A41,'[11]HDD CDD Summary'!$R:$T,3,FALSE)</f>
        <v>0</v>
      </c>
      <c r="G41" s="53">
        <f>+Inputs!G41</f>
        <v>31</v>
      </c>
      <c r="H41" s="105">
        <f t="shared" si="6"/>
        <v>0.33333333333333331</v>
      </c>
      <c r="I41" s="53">
        <f>+Inputs!I41</f>
        <v>352</v>
      </c>
      <c r="J41" s="257">
        <v>0</v>
      </c>
      <c r="K41" s="257">
        <v>0</v>
      </c>
      <c r="L41" s="53">
        <f>+Inputs!J41</f>
        <v>0</v>
      </c>
      <c r="M41" s="53">
        <f>+Inputs!M41</f>
        <v>39</v>
      </c>
      <c r="N41" s="53">
        <f t="shared" si="5"/>
        <v>22167835.094893202</v>
      </c>
      <c r="O41" s="37">
        <f t="shared" si="7"/>
        <v>531662.19489320368</v>
      </c>
      <c r="P41" s="45">
        <f t="shared" si="8"/>
        <v>2.4572839076045825E-2</v>
      </c>
      <c r="Q41" s="12">
        <f t="shared" si="2"/>
        <v>2.4572839076045825E-2</v>
      </c>
      <c r="R41"/>
      <c r="S41" t="s">
        <v>26</v>
      </c>
    </row>
    <row r="42" spans="1:27" x14ac:dyDescent="0.2">
      <c r="A42" s="3" t="str">
        <f t="shared" si="3"/>
        <v>20164</v>
      </c>
      <c r="B42" s="49">
        <f t="shared" si="4"/>
        <v>2016</v>
      </c>
      <c r="C42" s="52">
        <v>42490</v>
      </c>
      <c r="D42" s="53">
        <f>+Inputs!D42</f>
        <v>20336536.75</v>
      </c>
      <c r="E42" s="53">
        <f>VLOOKUP(A42,'[11]HDD CDD Summary'!$R:$T,2,FALSE)</f>
        <v>394.8</v>
      </c>
      <c r="F42" s="53">
        <f>VLOOKUP(A42,'[11]HDD CDD Summary'!$R:$T,3,FALSE)</f>
        <v>0</v>
      </c>
      <c r="G42" s="53">
        <f>+Inputs!G42</f>
        <v>30</v>
      </c>
      <c r="H42" s="105">
        <f t="shared" si="6"/>
        <v>1</v>
      </c>
      <c r="I42" s="53">
        <f>+Inputs!I42</f>
        <v>336</v>
      </c>
      <c r="J42" s="257">
        <v>0</v>
      </c>
      <c r="K42" s="257">
        <v>0</v>
      </c>
      <c r="L42" s="53">
        <f>+Inputs!J42</f>
        <v>0</v>
      </c>
      <c r="M42" s="53">
        <f>+Inputs!M42</f>
        <v>40</v>
      </c>
      <c r="N42" s="53">
        <f t="shared" si="5"/>
        <v>20754561.748076785</v>
      </c>
      <c r="O42" s="37">
        <f t="shared" si="7"/>
        <v>418024.99807678536</v>
      </c>
      <c r="P42" s="45">
        <f t="shared" si="8"/>
        <v>2.0555368065645955E-2</v>
      </c>
      <c r="Q42" s="12">
        <f t="shared" si="2"/>
        <v>2.0555368065645955E-2</v>
      </c>
      <c r="R42"/>
      <c r="S42" s="76"/>
      <c r="T42" s="76" t="s">
        <v>30</v>
      </c>
      <c r="U42" s="76" t="s">
        <v>31</v>
      </c>
      <c r="V42" s="76" t="s">
        <v>32</v>
      </c>
      <c r="W42" s="76" t="s">
        <v>33</v>
      </c>
      <c r="X42" s="76" t="s">
        <v>34</v>
      </c>
    </row>
    <row r="43" spans="1:27" x14ac:dyDescent="0.2">
      <c r="A43" s="3" t="str">
        <f t="shared" si="3"/>
        <v>20165</v>
      </c>
      <c r="B43" s="49">
        <f t="shared" si="4"/>
        <v>2016</v>
      </c>
      <c r="C43" s="52">
        <v>42521</v>
      </c>
      <c r="D43" s="53">
        <f>+Inputs!D43</f>
        <v>20078198.850000001</v>
      </c>
      <c r="E43" s="53">
        <f>VLOOKUP(A43,'[11]HDD CDD Summary'!$R:$T,2,FALSE)</f>
        <v>142.50000000000003</v>
      </c>
      <c r="F43" s="53">
        <f>VLOOKUP(A43,'[11]HDD CDD Summary'!$R:$T,3,FALSE)</f>
        <v>36.9</v>
      </c>
      <c r="G43" s="53">
        <f>+Inputs!G43</f>
        <v>31</v>
      </c>
      <c r="H43" s="105">
        <f t="shared" si="6"/>
        <v>1</v>
      </c>
      <c r="I43" s="53">
        <f>+Inputs!I43</f>
        <v>336</v>
      </c>
      <c r="J43" s="257">
        <v>0</v>
      </c>
      <c r="K43" s="257">
        <v>0</v>
      </c>
      <c r="L43" s="53">
        <f>+Inputs!J43</f>
        <v>0</v>
      </c>
      <c r="M43" s="53">
        <f>+Inputs!M43</f>
        <v>41</v>
      </c>
      <c r="N43" s="53">
        <f t="shared" si="5"/>
        <v>20630824.304551356</v>
      </c>
      <c r="O43" s="37">
        <f t="shared" si="7"/>
        <v>552625.45455135405</v>
      </c>
      <c r="P43" s="45">
        <f t="shared" si="8"/>
        <v>2.7523656812042878E-2</v>
      </c>
      <c r="Q43" s="12">
        <f t="shared" si="2"/>
        <v>2.7523656812042878E-2</v>
      </c>
      <c r="R43"/>
      <c r="S43" t="s">
        <v>27</v>
      </c>
      <c r="T43">
        <v>7</v>
      </c>
      <c r="U43">
        <v>257254256510961.56</v>
      </c>
      <c r="V43">
        <v>36750608072994.508</v>
      </c>
      <c r="W43">
        <v>198.08363505712137</v>
      </c>
      <c r="X43">
        <v>3.9524965411125393E-63</v>
      </c>
    </row>
    <row r="44" spans="1:27" x14ac:dyDescent="0.2">
      <c r="A44" s="3" t="str">
        <f t="shared" si="3"/>
        <v>20166</v>
      </c>
      <c r="B44" s="49">
        <f t="shared" si="4"/>
        <v>2016</v>
      </c>
      <c r="C44" s="52">
        <v>42551</v>
      </c>
      <c r="D44" s="53">
        <f>+Inputs!D44</f>
        <v>20739146.41</v>
      </c>
      <c r="E44" s="53">
        <f>VLOOKUP(A44,'[11]HDD CDD Summary'!$R:$T,2,FALSE)</f>
        <v>24.200000000000003</v>
      </c>
      <c r="F44" s="53">
        <f>VLOOKUP(A44,'[11]HDD CDD Summary'!$R:$T,3,FALSE)</f>
        <v>83.7</v>
      </c>
      <c r="G44" s="53">
        <f>+Inputs!G44</f>
        <v>30</v>
      </c>
      <c r="H44" s="105">
        <f t="shared" si="6"/>
        <v>0.66666666666666663</v>
      </c>
      <c r="I44" s="53">
        <f>+Inputs!I44</f>
        <v>352</v>
      </c>
      <c r="J44" s="257">
        <v>0</v>
      </c>
      <c r="K44" s="257">
        <v>0</v>
      </c>
      <c r="L44" s="53">
        <f>+Inputs!J44</f>
        <v>0</v>
      </c>
      <c r="M44" s="53">
        <f>+Inputs!M44</f>
        <v>42</v>
      </c>
      <c r="N44" s="53">
        <f t="shared" si="5"/>
        <v>21037398.354013059</v>
      </c>
      <c r="O44" s="37">
        <f t="shared" si="7"/>
        <v>298251.94401305914</v>
      </c>
      <c r="P44" s="45">
        <f t="shared" si="8"/>
        <v>1.4381109912472002E-2</v>
      </c>
      <c r="Q44" s="12">
        <f t="shared" si="2"/>
        <v>1.4381109912472002E-2</v>
      </c>
      <c r="R44"/>
      <c r="S44" t="s">
        <v>28</v>
      </c>
      <c r="T44">
        <v>121</v>
      </c>
      <c r="U44">
        <v>22449222398155.227</v>
      </c>
      <c r="V44">
        <v>185530763621.11758</v>
      </c>
    </row>
    <row r="45" spans="1:27" ht="13.5" thickBot="1" x14ac:dyDescent="0.25">
      <c r="A45" s="3" t="str">
        <f t="shared" si="3"/>
        <v>20167</v>
      </c>
      <c r="B45" s="49">
        <f t="shared" si="4"/>
        <v>2016</v>
      </c>
      <c r="C45" s="52">
        <v>42582</v>
      </c>
      <c r="D45" s="53">
        <f>+Inputs!D45</f>
        <v>23027670.599999998</v>
      </c>
      <c r="E45" s="53">
        <f>VLOOKUP(A45,'[11]HDD CDD Summary'!$R:$T,2,FALSE)</f>
        <v>0</v>
      </c>
      <c r="F45" s="53">
        <f>VLOOKUP(A45,'[11]HDD CDD Summary'!$R:$T,3,FALSE)</f>
        <v>176.89999999999998</v>
      </c>
      <c r="G45" s="53">
        <f>+Inputs!G45</f>
        <v>31</v>
      </c>
      <c r="H45" s="105">
        <f t="shared" si="6"/>
        <v>0</v>
      </c>
      <c r="I45" s="53">
        <f>+Inputs!I45</f>
        <v>320</v>
      </c>
      <c r="J45" s="257">
        <v>0</v>
      </c>
      <c r="K45" s="257">
        <v>0</v>
      </c>
      <c r="L45" s="53">
        <f>+Inputs!J45</f>
        <v>0</v>
      </c>
      <c r="M45" s="53">
        <f>+Inputs!M45</f>
        <v>43</v>
      </c>
      <c r="N45" s="53">
        <f t="shared" si="5"/>
        <v>23601051.912246048</v>
      </c>
      <c r="O45" s="37">
        <f t="shared" si="7"/>
        <v>573381.31224605069</v>
      </c>
      <c r="P45" s="45">
        <f t="shared" si="8"/>
        <v>2.4899666240928892E-2</v>
      </c>
      <c r="Q45" s="12">
        <f t="shared" si="2"/>
        <v>2.4899666240928892E-2</v>
      </c>
      <c r="R45"/>
      <c r="S45" s="90" t="s">
        <v>11</v>
      </c>
      <c r="T45" s="90">
        <v>128</v>
      </c>
      <c r="U45" s="90">
        <v>279703478909116.78</v>
      </c>
      <c r="V45" s="90"/>
      <c r="W45" s="90"/>
      <c r="X45" s="90"/>
    </row>
    <row r="46" spans="1:27" x14ac:dyDescent="0.2">
      <c r="A46" s="3" t="str">
        <f t="shared" si="3"/>
        <v>20168</v>
      </c>
      <c r="B46" s="49">
        <f t="shared" si="4"/>
        <v>2016</v>
      </c>
      <c r="C46" s="52">
        <v>42613</v>
      </c>
      <c r="D46" s="53">
        <f>+Inputs!D46</f>
        <v>24179844.139999997</v>
      </c>
      <c r="E46" s="53">
        <f>VLOOKUP(A46,'[11]HDD CDD Summary'!$R:$T,2,FALSE)</f>
        <v>0</v>
      </c>
      <c r="F46" s="53">
        <f>VLOOKUP(A46,'[11]HDD CDD Summary'!$R:$T,3,FALSE)</f>
        <v>195.4</v>
      </c>
      <c r="G46" s="53">
        <f>+Inputs!G46</f>
        <v>31</v>
      </c>
      <c r="H46" s="105">
        <f t="shared" si="6"/>
        <v>0</v>
      </c>
      <c r="I46" s="53">
        <f>+Inputs!I46</f>
        <v>368</v>
      </c>
      <c r="J46" s="257">
        <v>0</v>
      </c>
      <c r="K46" s="257">
        <v>0</v>
      </c>
      <c r="L46" s="53">
        <f>+Inputs!J46</f>
        <v>0</v>
      </c>
      <c r="M46" s="53">
        <f>+Inputs!M46</f>
        <v>44</v>
      </c>
      <c r="N46" s="53">
        <f t="shared" si="5"/>
        <v>24602443.588813651</v>
      </c>
      <c r="O46" s="37">
        <f t="shared" si="7"/>
        <v>422599.44881365448</v>
      </c>
      <c r="P46" s="45">
        <f t="shared" si="8"/>
        <v>1.7477343789597088E-2</v>
      </c>
      <c r="Q46" s="12">
        <f t="shared" si="2"/>
        <v>1.7477343789597088E-2</v>
      </c>
      <c r="R46"/>
    </row>
    <row r="47" spans="1:27" x14ac:dyDescent="0.2">
      <c r="A47" s="3" t="str">
        <f t="shared" si="3"/>
        <v>20169</v>
      </c>
      <c r="B47" s="49">
        <f t="shared" si="4"/>
        <v>2016</v>
      </c>
      <c r="C47" s="52">
        <v>42643</v>
      </c>
      <c r="D47" s="53">
        <f>+Inputs!D47</f>
        <v>20570015.609999999</v>
      </c>
      <c r="E47" s="53">
        <f>VLOOKUP(A47,'[11]HDD CDD Summary'!$R:$T,2,FALSE)</f>
        <v>25.900000000000006</v>
      </c>
      <c r="F47" s="53">
        <f>VLOOKUP(A47,'[11]HDD CDD Summary'!$R:$T,3,FALSE)</f>
        <v>69.400000000000006</v>
      </c>
      <c r="G47" s="53">
        <f>+Inputs!G47</f>
        <v>30</v>
      </c>
      <c r="H47" s="105">
        <f t="shared" si="6"/>
        <v>0.33333333333333331</v>
      </c>
      <c r="I47" s="53">
        <f>+Inputs!I47</f>
        <v>336</v>
      </c>
      <c r="J47" s="257">
        <v>0</v>
      </c>
      <c r="K47" s="257">
        <v>0</v>
      </c>
      <c r="L47" s="53">
        <f>+Inputs!J47</f>
        <v>0</v>
      </c>
      <c r="M47" s="53">
        <f>+Inputs!M47</f>
        <v>45</v>
      </c>
      <c r="N47" s="53">
        <f t="shared" si="5"/>
        <v>20740463.313672122</v>
      </c>
      <c r="O47" s="37">
        <f t="shared" si="7"/>
        <v>170447.70367212221</v>
      </c>
      <c r="P47" s="45">
        <f t="shared" si="8"/>
        <v>8.2862214061354428E-3</v>
      </c>
      <c r="Q47" s="12">
        <f t="shared" si="2"/>
        <v>8.2862214061354428E-3</v>
      </c>
      <c r="R47"/>
      <c r="S47" s="76"/>
      <c r="T47" s="76" t="s">
        <v>35</v>
      </c>
      <c r="U47" s="76" t="s">
        <v>24</v>
      </c>
      <c r="V47" s="76" t="s">
        <v>36</v>
      </c>
      <c r="W47" s="76" t="s">
        <v>37</v>
      </c>
      <c r="X47" s="76" t="s">
        <v>38</v>
      </c>
      <c r="Y47" s="76" t="s">
        <v>39</v>
      </c>
      <c r="Z47" s="76" t="s">
        <v>105</v>
      </c>
      <c r="AA47" s="76" t="s">
        <v>106</v>
      </c>
    </row>
    <row r="48" spans="1:27" x14ac:dyDescent="0.2">
      <c r="A48" s="3" t="str">
        <f t="shared" si="3"/>
        <v>201610</v>
      </c>
      <c r="B48" s="49">
        <f t="shared" si="4"/>
        <v>2016</v>
      </c>
      <c r="C48" s="52">
        <v>42674</v>
      </c>
      <c r="D48" s="53">
        <f>+Inputs!D48</f>
        <v>20577574.779999997</v>
      </c>
      <c r="E48" s="53">
        <f>VLOOKUP(A48,'[11]HDD CDD Summary'!$R:$T,2,FALSE)</f>
        <v>194.20000000000002</v>
      </c>
      <c r="F48" s="53">
        <f>VLOOKUP(A48,'[11]HDD CDD Summary'!$R:$T,3,FALSE)</f>
        <v>4.0999999999999996</v>
      </c>
      <c r="G48" s="53">
        <f>+Inputs!G48</f>
        <v>31</v>
      </c>
      <c r="H48" s="105">
        <f t="shared" si="6"/>
        <v>1</v>
      </c>
      <c r="I48" s="53">
        <f>+Inputs!I48</f>
        <v>320</v>
      </c>
      <c r="J48" s="257">
        <v>0</v>
      </c>
      <c r="K48" s="257">
        <v>0</v>
      </c>
      <c r="L48" s="53">
        <f>+Inputs!J48</f>
        <v>0</v>
      </c>
      <c r="M48" s="53">
        <f>+Inputs!M48</f>
        <v>46</v>
      </c>
      <c r="N48" s="53">
        <f t="shared" si="5"/>
        <v>20021381.446741644</v>
      </c>
      <c r="O48" s="37">
        <f t="shared" si="7"/>
        <v>-556193.33325835317</v>
      </c>
      <c r="P48" s="45">
        <f t="shared" si="8"/>
        <v>-2.7029100329108522E-2</v>
      </c>
      <c r="Q48" s="12">
        <f t="shared" si="2"/>
        <v>2.7029100329108522E-2</v>
      </c>
      <c r="R48"/>
      <c r="S48" t="s">
        <v>29</v>
      </c>
      <c r="T48" s="113">
        <v>2047147.0081127379</v>
      </c>
      <c r="U48" s="113">
        <v>1446328.9748517803</v>
      </c>
      <c r="V48" s="113">
        <v>1.4154089724452414</v>
      </c>
      <c r="W48" s="113">
        <v>0.1595172915722288</v>
      </c>
      <c r="X48" s="113">
        <v>-816242.68496037927</v>
      </c>
      <c r="Y48" s="113">
        <v>4910536.7011858551</v>
      </c>
      <c r="Z48" s="113">
        <v>-816242.68496037927</v>
      </c>
      <c r="AA48" s="113">
        <v>4910536.7011858551</v>
      </c>
    </row>
    <row r="49" spans="1:27" x14ac:dyDescent="0.2">
      <c r="A49" s="3" t="str">
        <f t="shared" si="3"/>
        <v>201611</v>
      </c>
      <c r="B49" s="49">
        <f t="shared" si="4"/>
        <v>2016</v>
      </c>
      <c r="C49" s="52">
        <v>42704</v>
      </c>
      <c r="D49" s="53">
        <f>+Inputs!D49</f>
        <v>20734381.805</v>
      </c>
      <c r="E49" s="53">
        <f>VLOOKUP(A49,'[11]HDD CDD Summary'!$R:$T,2,FALSE)</f>
        <v>337.80000000000007</v>
      </c>
      <c r="F49" s="53">
        <f>VLOOKUP(A49,'[11]HDD CDD Summary'!$R:$T,3,FALSE)</f>
        <v>0</v>
      </c>
      <c r="G49" s="53">
        <f>+Inputs!G49</f>
        <v>30</v>
      </c>
      <c r="H49" s="105">
        <f t="shared" si="6"/>
        <v>1</v>
      </c>
      <c r="I49" s="53">
        <f>+Inputs!I49</f>
        <v>352</v>
      </c>
      <c r="J49" s="257">
        <v>0</v>
      </c>
      <c r="K49" s="257">
        <v>0</v>
      </c>
      <c r="L49" s="53">
        <f>+Inputs!J49</f>
        <v>0</v>
      </c>
      <c r="M49" s="53">
        <f>+Inputs!M49</f>
        <v>47</v>
      </c>
      <c r="N49" s="53">
        <f t="shared" si="5"/>
        <v>20701719.431929588</v>
      </c>
      <c r="O49" s="37">
        <f t="shared" si="7"/>
        <v>-32662.373070411384</v>
      </c>
      <c r="P49" s="45">
        <f t="shared" si="8"/>
        <v>-1.5752759536112626E-3</v>
      </c>
      <c r="Q49" s="12">
        <f t="shared" si="2"/>
        <v>1.5752759536112626E-3</v>
      </c>
      <c r="R49"/>
      <c r="S49" t="s">
        <v>4</v>
      </c>
      <c r="T49" s="113">
        <v>5812.3485800302078</v>
      </c>
      <c r="U49" s="113">
        <v>265.71519775024262</v>
      </c>
      <c r="V49" s="113">
        <v>21.874355058507</v>
      </c>
      <c r="W49" s="113">
        <v>7.2533282621251701E-44</v>
      </c>
      <c r="X49" s="113">
        <v>5286.2952603773247</v>
      </c>
      <c r="Y49" s="113">
        <v>6338.401899683091</v>
      </c>
      <c r="Z49" s="113">
        <v>5286.2952603773247</v>
      </c>
      <c r="AA49" s="113">
        <v>6338.401899683091</v>
      </c>
    </row>
    <row r="50" spans="1:27" x14ac:dyDescent="0.2">
      <c r="A50" s="3" t="str">
        <f t="shared" si="3"/>
        <v>201612</v>
      </c>
      <c r="B50" s="49">
        <f t="shared" si="4"/>
        <v>2016</v>
      </c>
      <c r="C50" s="52">
        <v>42735</v>
      </c>
      <c r="D50" s="53">
        <f>+Inputs!D50</f>
        <v>22113618.544999998</v>
      </c>
      <c r="E50" s="53">
        <f>VLOOKUP(A50,'[11]HDD CDD Summary'!$R:$T,2,FALSE)</f>
        <v>607.99999999999989</v>
      </c>
      <c r="F50" s="53">
        <f>VLOOKUP(A50,'[11]HDD CDD Summary'!$R:$T,3,FALSE)</f>
        <v>0</v>
      </c>
      <c r="G50" s="53">
        <f>+Inputs!G50</f>
        <v>31</v>
      </c>
      <c r="H50" s="105">
        <f t="shared" si="6"/>
        <v>0.66666666666666663</v>
      </c>
      <c r="I50" s="53">
        <f>+Inputs!I50</f>
        <v>320</v>
      </c>
      <c r="J50" s="257">
        <v>0</v>
      </c>
      <c r="K50" s="257">
        <v>0</v>
      </c>
      <c r="L50" s="53">
        <f>+Inputs!J50</f>
        <v>0</v>
      </c>
      <c r="M50" s="53">
        <f>+Inputs!M50</f>
        <v>48</v>
      </c>
      <c r="N50" s="53">
        <f t="shared" si="5"/>
        <v>22518000.151085507</v>
      </c>
      <c r="O50" s="37">
        <f t="shared" si="7"/>
        <v>404381.60608550906</v>
      </c>
      <c r="P50" s="45">
        <f t="shared" si="8"/>
        <v>1.8286541628753102E-2</v>
      </c>
      <c r="Q50" s="12">
        <f t="shared" si="2"/>
        <v>1.8286541628753102E-2</v>
      </c>
      <c r="R50"/>
      <c r="S50" t="s">
        <v>5</v>
      </c>
      <c r="T50" s="113">
        <v>24445.586018494676</v>
      </c>
      <c r="U50" s="113">
        <v>1489.1787584371727</v>
      </c>
      <c r="V50" s="113">
        <v>16.415481271133118</v>
      </c>
      <c r="W50" s="113">
        <v>1.4328848198885017E-32</v>
      </c>
      <c r="X50" s="113">
        <v>21497.363876648</v>
      </c>
      <c r="Y50" s="113">
        <v>27393.808160341352</v>
      </c>
      <c r="Z50" s="113">
        <v>21497.363876648</v>
      </c>
      <c r="AA50" s="113">
        <v>27393.808160341352</v>
      </c>
    </row>
    <row r="51" spans="1:27" x14ac:dyDescent="0.2">
      <c r="A51" s="3" t="str">
        <f t="shared" si="3"/>
        <v>20171</v>
      </c>
      <c r="B51" s="49">
        <f t="shared" si="4"/>
        <v>2017</v>
      </c>
      <c r="C51" s="52">
        <v>42766</v>
      </c>
      <c r="D51" s="53">
        <f>+Inputs!D51</f>
        <v>23287844.449999999</v>
      </c>
      <c r="E51" s="53">
        <f>VLOOKUP(A51,'[11]HDD CDD Summary'!$R:$T,2,FALSE)</f>
        <v>608.9</v>
      </c>
      <c r="F51" s="53">
        <f>VLOOKUP(A51,'[11]HDD CDD Summary'!$R:$T,3,FALSE)</f>
        <v>0</v>
      </c>
      <c r="G51" s="53">
        <f>+Inputs!G51</f>
        <v>31</v>
      </c>
      <c r="H51" s="105">
        <f t="shared" si="6"/>
        <v>0</v>
      </c>
      <c r="I51" s="53">
        <f>+Inputs!I51</f>
        <v>336</v>
      </c>
      <c r="J51" s="257">
        <v>0</v>
      </c>
      <c r="K51" s="257">
        <v>0</v>
      </c>
      <c r="L51" s="53">
        <f>+Inputs!J51</f>
        <v>0</v>
      </c>
      <c r="M51" s="53">
        <f>+Inputs!M51</f>
        <v>49</v>
      </c>
      <c r="N51" s="53">
        <f t="shared" si="5"/>
        <v>23073544.390599798</v>
      </c>
      <c r="O51" s="37">
        <f t="shared" si="7"/>
        <v>-214300.05940020084</v>
      </c>
      <c r="P51" s="45">
        <f t="shared" si="8"/>
        <v>-9.2022282208347912E-3</v>
      </c>
      <c r="Q51" s="12">
        <f t="shared" si="2"/>
        <v>9.2022282208347912E-3</v>
      </c>
      <c r="R51"/>
      <c r="S51" t="s">
        <v>6</v>
      </c>
      <c r="T51" s="113">
        <v>420568.0277416638</v>
      </c>
      <c r="U51" s="113">
        <v>54005.067660489563</v>
      </c>
      <c r="V51" s="113">
        <v>7.7875659815042493</v>
      </c>
      <c r="W51" s="113">
        <v>2.6085701075388535E-12</v>
      </c>
      <c r="X51" s="113">
        <v>313650.75179577508</v>
      </c>
      <c r="Y51" s="113">
        <v>527485.30368755246</v>
      </c>
      <c r="Z51" s="113">
        <v>313650.75179577508</v>
      </c>
      <c r="AA51" s="113">
        <v>527485.30368755246</v>
      </c>
    </row>
    <row r="52" spans="1:27" x14ac:dyDescent="0.2">
      <c r="A52" s="3" t="str">
        <f t="shared" si="3"/>
        <v>20172</v>
      </c>
      <c r="B52" s="49">
        <f t="shared" si="4"/>
        <v>2017</v>
      </c>
      <c r="C52" s="52">
        <v>42794</v>
      </c>
      <c r="D52" s="53">
        <f>+Inputs!D52</f>
        <v>20360287.07</v>
      </c>
      <c r="E52" s="53">
        <f>VLOOKUP(A52,'[11]HDD CDD Summary'!$R:$T,2,FALSE)</f>
        <v>510.4</v>
      </c>
      <c r="F52" s="53">
        <f>VLOOKUP(A52,'[11]HDD CDD Summary'!$R:$T,3,FALSE)</f>
        <v>0</v>
      </c>
      <c r="G52" s="53">
        <f>+Inputs!G52</f>
        <v>28</v>
      </c>
      <c r="H52" s="105">
        <f t="shared" si="6"/>
        <v>0</v>
      </c>
      <c r="I52" s="53">
        <f>+Inputs!I52</f>
        <v>304</v>
      </c>
      <c r="J52" s="257">
        <v>0</v>
      </c>
      <c r="K52" s="257">
        <v>0</v>
      </c>
      <c r="L52" s="53">
        <f>+Inputs!J52</f>
        <v>0</v>
      </c>
      <c r="M52" s="53">
        <f>+Inputs!M52</f>
        <v>50</v>
      </c>
      <c r="N52" s="53">
        <f t="shared" si="5"/>
        <v>20896940.093586985</v>
      </c>
      <c r="O52" s="37">
        <f t="shared" si="7"/>
        <v>536653.02358698472</v>
      </c>
      <c r="P52" s="45">
        <f t="shared" si="8"/>
        <v>2.6357831878398203E-2</v>
      </c>
      <c r="Q52" s="12">
        <f t="shared" si="2"/>
        <v>2.6357831878398203E-2</v>
      </c>
      <c r="R52"/>
      <c r="S52" t="s">
        <v>18</v>
      </c>
      <c r="T52" s="113">
        <v>-526294.38178580569</v>
      </c>
      <c r="U52" s="113">
        <v>130284.16228637649</v>
      </c>
      <c r="V52" s="113">
        <v>-4.0395883317648584</v>
      </c>
      <c r="W52" s="113">
        <v>9.4408620402983024E-5</v>
      </c>
      <c r="X52" s="113">
        <v>-784226.2451087446</v>
      </c>
      <c r="Y52" s="113">
        <v>-268362.51846286678</v>
      </c>
      <c r="Z52" s="113">
        <v>-784226.2451087446</v>
      </c>
      <c r="AA52" s="113">
        <v>-268362.51846286678</v>
      </c>
    </row>
    <row r="53" spans="1:27" x14ac:dyDescent="0.2">
      <c r="A53" s="3" t="str">
        <f t="shared" si="3"/>
        <v>20173</v>
      </c>
      <c r="B53" s="49">
        <f t="shared" si="4"/>
        <v>2017</v>
      </c>
      <c r="C53" s="52">
        <v>42825</v>
      </c>
      <c r="D53" s="53">
        <f>+Inputs!D53</f>
        <v>22567613.300000001</v>
      </c>
      <c r="E53" s="53">
        <f>VLOOKUP(A53,'[11]HDD CDD Summary'!$R:$T,2,FALSE)</f>
        <v>574</v>
      </c>
      <c r="F53" s="53">
        <f>VLOOKUP(A53,'[11]HDD CDD Summary'!$R:$T,3,FALSE)</f>
        <v>0</v>
      </c>
      <c r="G53" s="53">
        <f>+Inputs!G53</f>
        <v>31</v>
      </c>
      <c r="H53" s="105">
        <f t="shared" si="6"/>
        <v>0.33333333333333331</v>
      </c>
      <c r="I53" s="53">
        <f>+Inputs!I53</f>
        <v>368</v>
      </c>
      <c r="J53" s="257">
        <v>0</v>
      </c>
      <c r="K53" s="257">
        <v>0</v>
      </c>
      <c r="L53" s="53">
        <f>+Inputs!J53</f>
        <v>0</v>
      </c>
      <c r="M53" s="53">
        <f>+Inputs!M53</f>
        <v>51</v>
      </c>
      <c r="N53" s="53">
        <f t="shared" si="5"/>
        <v>23079147.29416427</v>
      </c>
      <c r="O53" s="37">
        <f t="shared" si="7"/>
        <v>511533.99416426942</v>
      </c>
      <c r="P53" s="45">
        <f t="shared" si="8"/>
        <v>2.2666729855933387E-2</v>
      </c>
      <c r="Q53" s="12">
        <f t="shared" si="2"/>
        <v>2.2666729855933387E-2</v>
      </c>
      <c r="R53"/>
      <c r="S53" t="s">
        <v>7</v>
      </c>
      <c r="T53" s="113">
        <v>11081.37417902288</v>
      </c>
      <c r="U53" s="113">
        <v>2510.8297716363045</v>
      </c>
      <c r="V53" s="113">
        <v>4.4134310912687491</v>
      </c>
      <c r="W53" s="113">
        <v>2.2238654028005791E-5</v>
      </c>
      <c r="X53" s="113">
        <v>6110.5243833176519</v>
      </c>
      <c r="Y53" s="113">
        <v>16052.223974728107</v>
      </c>
      <c r="Z53" s="113">
        <v>6110.5243833176519</v>
      </c>
      <c r="AA53" s="113">
        <v>16052.223974728107</v>
      </c>
    </row>
    <row r="54" spans="1:27" x14ac:dyDescent="0.2">
      <c r="A54" s="3" t="str">
        <f t="shared" si="3"/>
        <v>20174</v>
      </c>
      <c r="B54" s="49">
        <f t="shared" si="4"/>
        <v>2017</v>
      </c>
      <c r="C54" s="52">
        <v>42855</v>
      </c>
      <c r="D54" s="53">
        <f>+Inputs!D54</f>
        <v>19386237.350000001</v>
      </c>
      <c r="E54" s="53">
        <f>VLOOKUP(A54,'[11]HDD CDD Summary'!$R:$T,2,FALSE)</f>
        <v>257.49999999999994</v>
      </c>
      <c r="F54" s="53">
        <f>VLOOKUP(A54,'[11]HDD CDD Summary'!$R:$T,3,FALSE)</f>
        <v>0</v>
      </c>
      <c r="G54" s="53">
        <f>+Inputs!G54</f>
        <v>30</v>
      </c>
      <c r="H54" s="105">
        <f t="shared" si="6"/>
        <v>1</v>
      </c>
      <c r="I54" s="53">
        <f>+Inputs!I54</f>
        <v>304</v>
      </c>
      <c r="J54" s="257">
        <v>0</v>
      </c>
      <c r="K54" s="257">
        <v>0</v>
      </c>
      <c r="L54" s="53">
        <f>+Inputs!J54</f>
        <v>0</v>
      </c>
      <c r="M54" s="53">
        <f>+Inputs!M54</f>
        <v>52</v>
      </c>
      <c r="N54" s="53">
        <f t="shared" si="5"/>
        <v>19770367.641948078</v>
      </c>
      <c r="O54" s="37">
        <f t="shared" si="7"/>
        <v>384130.29194807634</v>
      </c>
      <c r="P54" s="45">
        <f t="shared" si="8"/>
        <v>1.9814587277199324E-2</v>
      </c>
      <c r="Q54" s="12">
        <f t="shared" si="2"/>
        <v>1.9814587277199324E-2</v>
      </c>
      <c r="R54"/>
      <c r="S54" t="s">
        <v>145</v>
      </c>
      <c r="T54" s="113">
        <v>-2321458.3690313813</v>
      </c>
      <c r="U54" s="113">
        <v>436829.35023958178</v>
      </c>
      <c r="V54" s="113">
        <v>-5.3143369779483978</v>
      </c>
      <c r="W54" s="113">
        <v>4.9569089018253281E-7</v>
      </c>
      <c r="X54" s="113">
        <v>-3186277.2870344785</v>
      </c>
      <c r="Y54" s="113">
        <v>-1456639.4510282842</v>
      </c>
      <c r="Z54" s="113">
        <v>-3186277.2870344785</v>
      </c>
      <c r="AA54" s="113">
        <v>-1456639.4510282842</v>
      </c>
    </row>
    <row r="55" spans="1:27" ht="13.5" thickBot="1" x14ac:dyDescent="0.25">
      <c r="A55" s="3" t="str">
        <f t="shared" si="3"/>
        <v>20175</v>
      </c>
      <c r="B55" s="49">
        <f t="shared" si="4"/>
        <v>2017</v>
      </c>
      <c r="C55" s="52">
        <v>42886</v>
      </c>
      <c r="D55" s="53">
        <f>+Inputs!D55</f>
        <v>19855233.969999999</v>
      </c>
      <c r="E55" s="53">
        <f>VLOOKUP(A55,'[11]HDD CDD Summary'!$R:$T,2,FALSE)</f>
        <v>177</v>
      </c>
      <c r="F55" s="53">
        <f>VLOOKUP(A55,'[11]HDD CDD Summary'!$R:$T,3,FALSE)</f>
        <v>9</v>
      </c>
      <c r="G55" s="53">
        <f>+Inputs!G55</f>
        <v>31</v>
      </c>
      <c r="H55" s="105">
        <f t="shared" si="6"/>
        <v>1</v>
      </c>
      <c r="I55" s="53">
        <f>+Inputs!I55</f>
        <v>352</v>
      </c>
      <c r="J55" s="257">
        <v>0</v>
      </c>
      <c r="K55" s="257">
        <v>0</v>
      </c>
      <c r="L55" s="53">
        <f>+Inputs!J55</f>
        <v>0</v>
      </c>
      <c r="M55" s="53">
        <f>+Inputs!M55</f>
        <v>53</v>
      </c>
      <c r="N55" s="53">
        <f t="shared" si="5"/>
        <v>20496730.813471023</v>
      </c>
      <c r="O55" s="37">
        <f t="shared" si="7"/>
        <v>641496.84347102419</v>
      </c>
      <c r="P55" s="45">
        <f t="shared" si="8"/>
        <v>3.2308702301886004E-2</v>
      </c>
      <c r="Q55" s="12">
        <f t="shared" si="2"/>
        <v>3.2308702301886004E-2</v>
      </c>
      <c r="R55"/>
      <c r="S55" s="90" t="s">
        <v>70</v>
      </c>
      <c r="T55" s="114">
        <v>15134.453019975965</v>
      </c>
      <c r="U55" s="114">
        <v>1025.1797641226826</v>
      </c>
      <c r="V55" s="114">
        <v>14.76273093717136</v>
      </c>
      <c r="W55" s="114">
        <v>7.75936470914612E-29</v>
      </c>
      <c r="X55" s="114">
        <v>13104.839272912059</v>
      </c>
      <c r="Y55" s="114">
        <v>17164.066767039869</v>
      </c>
      <c r="Z55" s="114">
        <v>13104.839272912059</v>
      </c>
      <c r="AA55" s="114">
        <v>17164.066767039869</v>
      </c>
    </row>
    <row r="56" spans="1:27" x14ac:dyDescent="0.2">
      <c r="A56" s="3" t="str">
        <f t="shared" si="3"/>
        <v>20176</v>
      </c>
      <c r="B56" s="49">
        <f t="shared" si="4"/>
        <v>2017</v>
      </c>
      <c r="C56" s="52">
        <v>42916</v>
      </c>
      <c r="D56" s="53">
        <f>+Inputs!D56</f>
        <v>20499489.770000003</v>
      </c>
      <c r="E56" s="53">
        <f>VLOOKUP(A56,'[11]HDD CDD Summary'!$R:$T,2,FALSE)</f>
        <v>26.699999999999996</v>
      </c>
      <c r="F56" s="53">
        <f>VLOOKUP(A56,'[11]HDD CDD Summary'!$R:$T,3,FALSE)</f>
        <v>68.2</v>
      </c>
      <c r="G56" s="53">
        <f>+Inputs!G56</f>
        <v>30</v>
      </c>
      <c r="H56" s="105">
        <f t="shared" si="6"/>
        <v>0.66666666666666663</v>
      </c>
      <c r="I56" s="53">
        <f>+Inputs!I56</f>
        <v>352</v>
      </c>
      <c r="J56" s="257">
        <v>0</v>
      </c>
      <c r="K56" s="257">
        <v>0</v>
      </c>
      <c r="L56" s="53">
        <f>+Inputs!J56</f>
        <v>0</v>
      </c>
      <c r="M56" s="53">
        <f>+Inputs!M56</f>
        <v>54</v>
      </c>
      <c r="N56" s="53">
        <f t="shared" si="5"/>
        <v>20841337.474091902</v>
      </c>
      <c r="O56" s="37">
        <f t="shared" si="7"/>
        <v>341847.7040918991</v>
      </c>
      <c r="P56" s="45">
        <f t="shared" si="8"/>
        <v>1.667591281184844E-2</v>
      </c>
      <c r="Q56" s="12">
        <f t="shared" si="2"/>
        <v>1.667591281184844E-2</v>
      </c>
      <c r="R56"/>
    </row>
    <row r="57" spans="1:27" x14ac:dyDescent="0.2">
      <c r="A57" s="3" t="str">
        <f t="shared" si="3"/>
        <v>20177</v>
      </c>
      <c r="B57" s="49">
        <f t="shared" si="4"/>
        <v>2017</v>
      </c>
      <c r="C57" s="52">
        <v>42947</v>
      </c>
      <c r="D57" s="53">
        <f>+Inputs!D57</f>
        <v>21882661.009999998</v>
      </c>
      <c r="E57" s="53">
        <f>VLOOKUP(A57,'[11]HDD CDD Summary'!$R:$T,2,FALSE)</f>
        <v>0</v>
      </c>
      <c r="F57" s="53">
        <f>VLOOKUP(A57,'[11]HDD CDD Summary'!$R:$T,3,FALSE)</f>
        <v>116.49999999999999</v>
      </c>
      <c r="G57" s="53">
        <f>+Inputs!G57</f>
        <v>31</v>
      </c>
      <c r="H57" s="105">
        <f t="shared" si="6"/>
        <v>0</v>
      </c>
      <c r="I57" s="53">
        <f>+Inputs!I57</f>
        <v>320</v>
      </c>
      <c r="J57" s="257">
        <v>0</v>
      </c>
      <c r="K57" s="257">
        <v>0</v>
      </c>
      <c r="L57" s="53">
        <f>+Inputs!J57</f>
        <v>0</v>
      </c>
      <c r="M57" s="53">
        <f>+Inputs!M57</f>
        <v>55</v>
      </c>
      <c r="N57" s="53">
        <f t="shared" si="5"/>
        <v>22297444.717966765</v>
      </c>
      <c r="O57" s="37">
        <f t="shared" si="7"/>
        <v>414783.70796676725</v>
      </c>
      <c r="P57" s="45">
        <f t="shared" si="8"/>
        <v>1.8954902595128546E-2</v>
      </c>
      <c r="Q57" s="12">
        <f t="shared" si="2"/>
        <v>1.8954902595128546E-2</v>
      </c>
      <c r="R57"/>
    </row>
    <row r="58" spans="1:27" x14ac:dyDescent="0.2">
      <c r="A58" s="3" t="str">
        <f t="shared" si="3"/>
        <v>20178</v>
      </c>
      <c r="B58" s="49">
        <f t="shared" si="4"/>
        <v>2017</v>
      </c>
      <c r="C58" s="52">
        <v>42978</v>
      </c>
      <c r="D58" s="53">
        <f>+Inputs!D58</f>
        <v>21310062.84</v>
      </c>
      <c r="E58" s="53">
        <f>VLOOKUP(A58,'[11]HDD CDD Summary'!$R:$T,2,FALSE)</f>
        <v>11.6</v>
      </c>
      <c r="F58" s="53">
        <f>VLOOKUP(A58,'[11]HDD CDD Summary'!$R:$T,3,FALSE)</f>
        <v>75.2</v>
      </c>
      <c r="G58" s="53">
        <f>+Inputs!G58</f>
        <v>31</v>
      </c>
      <c r="H58" s="105">
        <f t="shared" si="6"/>
        <v>0</v>
      </c>
      <c r="I58" s="53">
        <f>+Inputs!I58</f>
        <v>368</v>
      </c>
      <c r="J58" s="257">
        <v>0</v>
      </c>
      <c r="K58" s="257">
        <v>0</v>
      </c>
      <c r="L58" s="53">
        <f>+Inputs!J58</f>
        <v>0</v>
      </c>
      <c r="M58" s="53">
        <f>+Inputs!M58</f>
        <v>56</v>
      </c>
      <c r="N58" s="53">
        <f t="shared" si="5"/>
        <v>21909979.164281685</v>
      </c>
      <c r="O58" s="37">
        <f t="shared" si="7"/>
        <v>599916.32428168505</v>
      </c>
      <c r="P58" s="45">
        <f t="shared" si="8"/>
        <v>2.8151785791809755E-2</v>
      </c>
      <c r="Q58" s="12">
        <f t="shared" si="2"/>
        <v>2.8151785791809755E-2</v>
      </c>
      <c r="R58"/>
    </row>
    <row r="59" spans="1:27" x14ac:dyDescent="0.2">
      <c r="A59" s="3" t="str">
        <f t="shared" si="3"/>
        <v>20179</v>
      </c>
      <c r="B59" s="49">
        <f t="shared" si="4"/>
        <v>2017</v>
      </c>
      <c r="C59" s="52">
        <v>43008</v>
      </c>
      <c r="D59" s="53">
        <f>+Inputs!D59</f>
        <v>20719473.609999999</v>
      </c>
      <c r="E59" s="53">
        <f>VLOOKUP(A59,'[11]HDD CDD Summary'!$R:$T,2,FALSE)</f>
        <v>49.1</v>
      </c>
      <c r="F59" s="53">
        <f>VLOOKUP(A59,'[11]HDD CDD Summary'!$R:$T,3,FALSE)</f>
        <v>71.499999999999986</v>
      </c>
      <c r="G59" s="53">
        <f>+Inputs!G59</f>
        <v>30</v>
      </c>
      <c r="H59" s="105">
        <f t="shared" si="6"/>
        <v>0.33333333333333331</v>
      </c>
      <c r="I59" s="53">
        <f>+Inputs!I59</f>
        <v>320</v>
      </c>
      <c r="J59" s="257">
        <v>0</v>
      </c>
      <c r="K59" s="257">
        <v>0</v>
      </c>
      <c r="L59" s="53">
        <f>+Inputs!J59</f>
        <v>0</v>
      </c>
      <c r="M59" s="53">
        <f>+Inputs!M59</f>
        <v>57</v>
      </c>
      <c r="N59" s="53">
        <f t="shared" si="5"/>
        <v>20913402.317610033</v>
      </c>
      <c r="O59" s="37">
        <f t="shared" si="7"/>
        <v>193928.70761003345</v>
      </c>
      <c r="P59" s="45">
        <f t="shared" si="8"/>
        <v>9.3597313937761502E-3</v>
      </c>
      <c r="Q59" s="12">
        <f t="shared" si="2"/>
        <v>9.3597313937761502E-3</v>
      </c>
      <c r="R59"/>
      <c r="S59" s="47" t="s">
        <v>276</v>
      </c>
    </row>
    <row r="60" spans="1:27" x14ac:dyDescent="0.2">
      <c r="A60" s="3" t="str">
        <f t="shared" si="3"/>
        <v>201710</v>
      </c>
      <c r="B60" s="49">
        <f t="shared" si="4"/>
        <v>2017</v>
      </c>
      <c r="C60" s="52">
        <v>43039</v>
      </c>
      <c r="D60" s="53">
        <f>+Inputs!D60</f>
        <v>20243543.530000001</v>
      </c>
      <c r="E60" s="53">
        <f>VLOOKUP(A60,'[11]HDD CDD Summary'!$R:$T,2,FALSE)</f>
        <v>153.99999999999997</v>
      </c>
      <c r="F60" s="53">
        <f>VLOOKUP(A60,'[11]HDD CDD Summary'!$R:$T,3,FALSE)</f>
        <v>8.1</v>
      </c>
      <c r="G60" s="53">
        <f>+Inputs!G60</f>
        <v>31</v>
      </c>
      <c r="H60" s="105">
        <f t="shared" si="6"/>
        <v>1</v>
      </c>
      <c r="I60" s="53">
        <f>+Inputs!I60</f>
        <v>336</v>
      </c>
      <c r="J60" s="257">
        <v>0</v>
      </c>
      <c r="K60" s="257">
        <v>0</v>
      </c>
      <c r="L60" s="53">
        <f>+Inputs!J60</f>
        <v>0</v>
      </c>
      <c r="M60" s="53">
        <f>+Inputs!M60</f>
        <v>58</v>
      </c>
      <c r="N60" s="53">
        <f t="shared" si="5"/>
        <v>20232472.159566037</v>
      </c>
      <c r="O60" s="37">
        <f t="shared" si="7"/>
        <v>-11071.370433963835</v>
      </c>
      <c r="P60" s="45">
        <f t="shared" si="8"/>
        <v>-5.4690871771320931E-4</v>
      </c>
      <c r="Q60" s="12">
        <f t="shared" si="2"/>
        <v>5.4690871771320931E-4</v>
      </c>
      <c r="R60"/>
      <c r="S60" t="s">
        <v>19</v>
      </c>
      <c r="T60" s="223" t="s">
        <v>274</v>
      </c>
    </row>
    <row r="61" spans="1:27" x14ac:dyDescent="0.2">
      <c r="A61" s="3" t="str">
        <f t="shared" si="3"/>
        <v>201711</v>
      </c>
      <c r="B61" s="49">
        <f t="shared" si="4"/>
        <v>2017</v>
      </c>
      <c r="C61" s="52">
        <v>43069</v>
      </c>
      <c r="D61" s="53">
        <f>+Inputs!D61</f>
        <v>21468651.379999999</v>
      </c>
      <c r="E61" s="53">
        <f>VLOOKUP(A61,'[11]HDD CDD Summary'!$R:$T,2,FALSE)</f>
        <v>429.35</v>
      </c>
      <c r="F61" s="53">
        <f>VLOOKUP(A61,'[11]HDD CDD Summary'!$R:$T,3,FALSE)</f>
        <v>0</v>
      </c>
      <c r="G61" s="53">
        <f>+Inputs!G61</f>
        <v>30</v>
      </c>
      <c r="H61" s="105">
        <f t="shared" si="6"/>
        <v>1</v>
      </c>
      <c r="I61" s="53">
        <f>+Inputs!I61</f>
        <v>352</v>
      </c>
      <c r="J61" s="257">
        <v>0</v>
      </c>
      <c r="K61" s="257">
        <v>0</v>
      </c>
      <c r="L61" s="53">
        <f>+Inputs!J61</f>
        <v>0</v>
      </c>
      <c r="M61" s="53">
        <f>+Inputs!M61</f>
        <v>59</v>
      </c>
      <c r="N61" s="53">
        <f t="shared" si="5"/>
        <v>21397324.334232386</v>
      </c>
      <c r="O61" s="37">
        <f t="shared" si="7"/>
        <v>-71327.045767612755</v>
      </c>
      <c r="P61" s="45">
        <f t="shared" si="8"/>
        <v>-3.3223812947123631E-3</v>
      </c>
      <c r="Q61" s="12">
        <f t="shared" si="2"/>
        <v>3.3223812947123631E-3</v>
      </c>
      <c r="R61"/>
    </row>
    <row r="62" spans="1:27" x14ac:dyDescent="0.2">
      <c r="A62" s="3" t="str">
        <f t="shared" si="3"/>
        <v>201712</v>
      </c>
      <c r="B62" s="49">
        <f t="shared" si="4"/>
        <v>2017</v>
      </c>
      <c r="C62" s="52">
        <v>43100</v>
      </c>
      <c r="D62" s="53">
        <f>+Inputs!D62</f>
        <v>22467268.620000001</v>
      </c>
      <c r="E62" s="53">
        <f>VLOOKUP(A62,'[11]HDD CDD Summary'!$R:$T,2,FALSE)</f>
        <v>718.49999999999989</v>
      </c>
      <c r="F62" s="53">
        <f>VLOOKUP(A62,'[11]HDD CDD Summary'!$R:$T,3,FALSE)</f>
        <v>0</v>
      </c>
      <c r="G62" s="53">
        <f>+Inputs!G62</f>
        <v>31</v>
      </c>
      <c r="H62" s="105">
        <f t="shared" si="6"/>
        <v>0.66666666666666663</v>
      </c>
      <c r="I62" s="53">
        <f>+Inputs!I62</f>
        <v>304</v>
      </c>
      <c r="J62" s="257">
        <v>0</v>
      </c>
      <c r="K62" s="257">
        <v>0</v>
      </c>
      <c r="L62" s="53">
        <f>+Inputs!J62</f>
        <v>0</v>
      </c>
      <c r="M62" s="53">
        <f>+Inputs!M62</f>
        <v>60</v>
      </c>
      <c r="N62" s="53">
        <f t="shared" si="5"/>
        <v>23144019.087378729</v>
      </c>
      <c r="O62" s="37">
        <f t="shared" si="7"/>
        <v>676750.46737872809</v>
      </c>
      <c r="P62" s="45">
        <f t="shared" si="8"/>
        <v>3.0121617310272228E-2</v>
      </c>
      <c r="Q62" s="12">
        <f t="shared" si="2"/>
        <v>3.0121617310272228E-2</v>
      </c>
      <c r="R62"/>
      <c r="S62" s="76" t="s">
        <v>20</v>
      </c>
      <c r="T62" s="76"/>
    </row>
    <row r="63" spans="1:27" x14ac:dyDescent="0.2">
      <c r="A63" s="3" t="str">
        <f t="shared" si="3"/>
        <v>20181</v>
      </c>
      <c r="B63" s="49">
        <f t="shared" si="4"/>
        <v>2018</v>
      </c>
      <c r="C63" s="52">
        <v>43131</v>
      </c>
      <c r="D63" s="53">
        <f>+Inputs!D63</f>
        <v>24028241.710000001</v>
      </c>
      <c r="E63" s="53">
        <f>VLOOKUP(A63,'[11]HDD CDD Summary'!$R:$T,2,FALSE)</f>
        <v>732.29999999999984</v>
      </c>
      <c r="F63" s="53">
        <f>VLOOKUP(A63,'[11]HDD CDD Summary'!$R:$T,3,FALSE)</f>
        <v>0</v>
      </c>
      <c r="G63" s="53">
        <f>+Inputs!G63</f>
        <v>31</v>
      </c>
      <c r="H63" s="105">
        <f t="shared" si="6"/>
        <v>0</v>
      </c>
      <c r="I63" s="53">
        <f>+Inputs!I63</f>
        <v>352</v>
      </c>
      <c r="J63" s="257">
        <v>0</v>
      </c>
      <c r="K63" s="257">
        <v>0</v>
      </c>
      <c r="L63" s="53">
        <f>+Inputs!J63</f>
        <v>0</v>
      </c>
      <c r="M63" s="53">
        <f>+Inputs!M63</f>
        <v>61</v>
      </c>
      <c r="N63" s="53">
        <f t="shared" si="5"/>
        <v>24132133.030165207</v>
      </c>
      <c r="O63" s="37">
        <f t="shared" si="7"/>
        <v>103891.32016520575</v>
      </c>
      <c r="P63" s="45">
        <f t="shared" si="8"/>
        <v>4.3237171250016422E-3</v>
      </c>
      <c r="Q63" s="12">
        <f t="shared" si="2"/>
        <v>4.3237171250016422E-3</v>
      </c>
      <c r="R63"/>
      <c r="S63" t="s">
        <v>21</v>
      </c>
      <c r="T63" s="112">
        <v>0.96027576185823249</v>
      </c>
    </row>
    <row r="64" spans="1:27" x14ac:dyDescent="0.2">
      <c r="A64" s="3" t="str">
        <f t="shared" si="3"/>
        <v>20182</v>
      </c>
      <c r="B64" s="49">
        <f t="shared" si="4"/>
        <v>2018</v>
      </c>
      <c r="C64" s="52">
        <v>43159</v>
      </c>
      <c r="D64" s="53">
        <f>+Inputs!D64</f>
        <v>20985005.432913534</v>
      </c>
      <c r="E64" s="53">
        <f>VLOOKUP(A64,'[11]HDD CDD Summary'!$R:$T,2,FALSE)</f>
        <v>555.00000000000023</v>
      </c>
      <c r="F64" s="53">
        <f>VLOOKUP(A64,'[11]HDD CDD Summary'!$R:$T,3,FALSE)</f>
        <v>0</v>
      </c>
      <c r="G64" s="53">
        <f>+Inputs!G64</f>
        <v>28</v>
      </c>
      <c r="H64" s="105">
        <f t="shared" si="6"/>
        <v>0</v>
      </c>
      <c r="I64" s="53">
        <f>+Inputs!I64</f>
        <v>304</v>
      </c>
      <c r="J64" s="257">
        <v>0</v>
      </c>
      <c r="K64" s="257">
        <v>0</v>
      </c>
      <c r="L64" s="53">
        <f>+Inputs!J64</f>
        <v>0</v>
      </c>
      <c r="M64" s="53">
        <f>+Inputs!M64</f>
        <v>62</v>
      </c>
      <c r="N64" s="53">
        <f t="shared" si="5"/>
        <v>21321383.079347856</v>
      </c>
      <c r="O64" s="37">
        <f t="shared" si="7"/>
        <v>336377.646434322</v>
      </c>
      <c r="P64" s="45">
        <f t="shared" si="8"/>
        <v>1.6029428608426131E-2</v>
      </c>
      <c r="Q64" s="12">
        <f t="shared" si="2"/>
        <v>1.6029428608426131E-2</v>
      </c>
      <c r="R64"/>
      <c r="S64" t="s">
        <v>22</v>
      </c>
      <c r="T64" s="112">
        <v>0.92212953881240878</v>
      </c>
    </row>
    <row r="65" spans="1:27" x14ac:dyDescent="0.2">
      <c r="A65" s="3" t="str">
        <f t="shared" si="3"/>
        <v>20183</v>
      </c>
      <c r="B65" s="49">
        <f t="shared" si="4"/>
        <v>2018</v>
      </c>
      <c r="C65" s="52">
        <v>43190</v>
      </c>
      <c r="D65" s="53">
        <f>+Inputs!D65</f>
        <v>22598880.590000004</v>
      </c>
      <c r="E65" s="53">
        <f>VLOOKUP(A65,'[11]HDD CDD Summary'!$R:$T,2,FALSE)</f>
        <v>553.99999999999989</v>
      </c>
      <c r="F65" s="53">
        <f>VLOOKUP(A65,'[11]HDD CDD Summary'!$R:$T,3,FALSE)</f>
        <v>0</v>
      </c>
      <c r="G65" s="53">
        <f>+Inputs!G65</f>
        <v>31</v>
      </c>
      <c r="H65" s="105">
        <f t="shared" si="6"/>
        <v>0.33333333333333331</v>
      </c>
      <c r="I65" s="53">
        <f>+Inputs!I65</f>
        <v>336</v>
      </c>
      <c r="J65" s="257">
        <v>0</v>
      </c>
      <c r="K65" s="257">
        <v>0</v>
      </c>
      <c r="L65" s="53">
        <f>+Inputs!J65</f>
        <v>0</v>
      </c>
      <c r="M65" s="53">
        <f>+Inputs!M65</f>
        <v>63</v>
      </c>
      <c r="N65" s="53">
        <f t="shared" si="5"/>
        <v>22772424.813389521</v>
      </c>
      <c r="O65" s="37">
        <f t="shared" si="7"/>
        <v>173544.22338951752</v>
      </c>
      <c r="P65" s="45">
        <f t="shared" si="8"/>
        <v>7.6793283055936303E-3</v>
      </c>
      <c r="Q65" s="12">
        <f t="shared" si="2"/>
        <v>7.6793283055936303E-3</v>
      </c>
      <c r="S65" t="s">
        <v>23</v>
      </c>
      <c r="T65" s="112">
        <v>0.91726263498818439</v>
      </c>
    </row>
    <row r="66" spans="1:27" x14ac:dyDescent="0.2">
      <c r="A66" s="3" t="str">
        <f t="shared" si="3"/>
        <v>20184</v>
      </c>
      <c r="B66" s="49">
        <f t="shared" si="4"/>
        <v>2018</v>
      </c>
      <c r="C66" s="52">
        <v>43220</v>
      </c>
      <c r="D66" s="53">
        <f>+Inputs!D66</f>
        <v>21216588.68</v>
      </c>
      <c r="E66" s="53">
        <f>VLOOKUP(A66,'[11]HDD CDD Summary'!$R:$T,2,FALSE)</f>
        <v>437.20000000000005</v>
      </c>
      <c r="F66" s="53">
        <f>VLOOKUP(A66,'[11]HDD CDD Summary'!$R:$T,3,FALSE)</f>
        <v>0</v>
      </c>
      <c r="G66" s="53">
        <f>+Inputs!G66</f>
        <v>30</v>
      </c>
      <c r="H66" s="105">
        <f t="shared" si="6"/>
        <v>1</v>
      </c>
      <c r="I66" s="53">
        <f>+Inputs!I66</f>
        <v>336</v>
      </c>
      <c r="J66" s="257">
        <v>0</v>
      </c>
      <c r="K66" s="257">
        <v>0</v>
      </c>
      <c r="L66" s="53">
        <f>+Inputs!J66</f>
        <v>0</v>
      </c>
      <c r="M66" s="53">
        <f>+Inputs!M66</f>
        <v>64</v>
      </c>
      <c r="N66" s="53">
        <f t="shared" si="5"/>
        <v>21333152.135058317</v>
      </c>
      <c r="O66" s="37">
        <f t="shared" si="7"/>
        <v>116563.45505831763</v>
      </c>
      <c r="P66" s="45">
        <f t="shared" si="8"/>
        <v>5.4939772277433638E-3</v>
      </c>
      <c r="Q66" s="12">
        <f t="shared" si="2"/>
        <v>5.4939772277433638E-3</v>
      </c>
      <c r="S66" t="s">
        <v>24</v>
      </c>
      <c r="T66" s="113">
        <v>423990.96531623346</v>
      </c>
    </row>
    <row r="67" spans="1:27" ht="13.5" thickBot="1" x14ac:dyDescent="0.25">
      <c r="A67" s="3" t="str">
        <f t="shared" si="3"/>
        <v>20185</v>
      </c>
      <c r="B67" s="49">
        <f t="shared" si="4"/>
        <v>2018</v>
      </c>
      <c r="C67" s="52">
        <v>43251</v>
      </c>
      <c r="D67" s="53">
        <f>+Inputs!D67</f>
        <v>21095556.57</v>
      </c>
      <c r="E67" s="53">
        <f>VLOOKUP(A67,'[11]HDD CDD Summary'!$R:$T,2,FALSE)</f>
        <v>75.3</v>
      </c>
      <c r="F67" s="53">
        <f>VLOOKUP(A67,'[11]HDD CDD Summary'!$R:$T,3,FALSE)</f>
        <v>43.4</v>
      </c>
      <c r="G67" s="53">
        <f>+Inputs!G67</f>
        <v>31</v>
      </c>
      <c r="H67" s="105">
        <f t="shared" si="6"/>
        <v>1</v>
      </c>
      <c r="I67" s="53">
        <f>+Inputs!I67</f>
        <v>352</v>
      </c>
      <c r="J67" s="257">
        <v>0</v>
      </c>
      <c r="K67" s="257">
        <v>0</v>
      </c>
      <c r="L67" s="53">
        <f>+Inputs!J67</f>
        <v>0</v>
      </c>
      <c r="M67" s="53">
        <f>+Inputs!M67</f>
        <v>65</v>
      </c>
      <c r="N67" s="53">
        <f t="shared" si="5"/>
        <v>20913692.304610603</v>
      </c>
      <c r="O67" s="37">
        <f t="shared" ref="O67:O98" si="9">N67-D67</f>
        <v>-181864.26538939774</v>
      </c>
      <c r="P67" s="45">
        <f t="shared" ref="P67:P98" si="10">O67/D67</f>
        <v>-8.6209749804860326E-3</v>
      </c>
      <c r="Q67" s="12">
        <f t="shared" ref="Q67:Q122" si="11">ABS(P67)</f>
        <v>8.6209749804860326E-3</v>
      </c>
      <c r="S67" s="90" t="s">
        <v>25</v>
      </c>
      <c r="T67" s="90">
        <v>120</v>
      </c>
    </row>
    <row r="68" spans="1:27" x14ac:dyDescent="0.2">
      <c r="A68" s="3" t="str">
        <f t="shared" ref="A68:A131" si="12">YEAR(C68)&amp;MONTH(C68)</f>
        <v>20186</v>
      </c>
      <c r="B68" s="49">
        <f t="shared" ref="B68:B131" si="13">YEAR(C68)</f>
        <v>2018</v>
      </c>
      <c r="C68" s="52">
        <v>43281</v>
      </c>
      <c r="D68" s="53">
        <f>+Inputs!D68</f>
        <v>21446304.349999998</v>
      </c>
      <c r="E68" s="53">
        <f>VLOOKUP(A68,'[11]HDD CDD Summary'!$R:$T,2,FALSE)</f>
        <v>14.799999999999999</v>
      </c>
      <c r="F68" s="53">
        <f>VLOOKUP(A68,'[11]HDD CDD Summary'!$R:$T,3,FALSE)</f>
        <v>60.5</v>
      </c>
      <c r="G68" s="53">
        <f>+Inputs!G68</f>
        <v>30</v>
      </c>
      <c r="H68" s="105">
        <f t="shared" si="6"/>
        <v>0.66666666666666663</v>
      </c>
      <c r="I68" s="53">
        <f>+Inputs!I68</f>
        <v>336</v>
      </c>
      <c r="J68" s="257">
        <v>0</v>
      </c>
      <c r="K68" s="257">
        <v>0</v>
      </c>
      <c r="L68" s="53">
        <f>+Inputs!J68</f>
        <v>0</v>
      </c>
      <c r="M68" s="53">
        <f>+Inputs!M68</f>
        <v>66</v>
      </c>
      <c r="N68" s="53">
        <f t="shared" ref="N68:N131" si="14">$T$18+$T$19*E68+$T$20*F68+$T$21*G68+$T$22*H68+$T$23*I68+J68*$T$24+K68*$T$25+L68*$T$26+M68*$T$27</f>
        <v>20572970.090580266</v>
      </c>
      <c r="O68" s="37">
        <f t="shared" si="9"/>
        <v>-873334.2594197318</v>
      </c>
      <c r="P68" s="45">
        <f t="shared" si="10"/>
        <v>-4.0721899921173685E-2</v>
      </c>
      <c r="Q68" s="12">
        <f t="shared" si="11"/>
        <v>4.0721899921173685E-2</v>
      </c>
    </row>
    <row r="69" spans="1:27" x14ac:dyDescent="0.2">
      <c r="A69" s="3" t="str">
        <f t="shared" si="12"/>
        <v>20187</v>
      </c>
      <c r="B69" s="49">
        <f t="shared" si="13"/>
        <v>2018</v>
      </c>
      <c r="C69" s="52">
        <v>43312</v>
      </c>
      <c r="D69" s="53">
        <f>+Inputs!D69</f>
        <v>23894162.989999998</v>
      </c>
      <c r="E69" s="53">
        <f>VLOOKUP(A69,'[11]HDD CDD Summary'!$R:$T,2,FALSE)</f>
        <v>0</v>
      </c>
      <c r="F69" s="53">
        <f>VLOOKUP(A69,'[11]HDD CDD Summary'!$R:$T,3,FALSE)</f>
        <v>167.8</v>
      </c>
      <c r="G69" s="53">
        <f>+Inputs!G69</f>
        <v>31</v>
      </c>
      <c r="H69" s="105">
        <f t="shared" si="6"/>
        <v>0</v>
      </c>
      <c r="I69" s="53">
        <f>+Inputs!I69</f>
        <v>336</v>
      </c>
      <c r="J69" s="257">
        <v>0</v>
      </c>
      <c r="K69" s="257">
        <v>0</v>
      </c>
      <c r="L69" s="53">
        <f>+Inputs!J69</f>
        <v>0</v>
      </c>
      <c r="M69" s="53">
        <f>+Inputs!M69</f>
        <v>67</v>
      </c>
      <c r="N69" s="53">
        <f t="shared" si="14"/>
        <v>23892248.76080621</v>
      </c>
      <c r="O69" s="37">
        <f t="shared" si="9"/>
        <v>-1914.2291937880218</v>
      </c>
      <c r="P69" s="45">
        <f t="shared" si="10"/>
        <v>-8.0112837373259337E-5</v>
      </c>
      <c r="Q69" s="12">
        <f t="shared" si="11"/>
        <v>8.0112837373259337E-5</v>
      </c>
      <c r="S69" t="s">
        <v>26</v>
      </c>
    </row>
    <row r="70" spans="1:27" x14ac:dyDescent="0.2">
      <c r="A70" s="3" t="str">
        <f t="shared" si="12"/>
        <v>20188</v>
      </c>
      <c r="B70" s="49">
        <f t="shared" si="13"/>
        <v>2018</v>
      </c>
      <c r="C70" s="52">
        <v>43343</v>
      </c>
      <c r="D70" s="53">
        <f>+Inputs!D70</f>
        <v>23956344.050000001</v>
      </c>
      <c r="E70" s="53">
        <f>VLOOKUP(A70,'[11]HDD CDD Summary'!$R:$T,2,FALSE)</f>
        <v>1.2</v>
      </c>
      <c r="F70" s="53">
        <f>VLOOKUP(A70,'[11]HDD CDD Summary'!$R:$T,3,FALSE)</f>
        <v>162.4</v>
      </c>
      <c r="G70" s="53">
        <f>+Inputs!G70</f>
        <v>31</v>
      </c>
      <c r="H70" s="105">
        <f t="shared" si="6"/>
        <v>0</v>
      </c>
      <c r="I70" s="53">
        <f>+Inputs!I70</f>
        <v>368</v>
      </c>
      <c r="J70" s="257">
        <v>0</v>
      </c>
      <c r="K70" s="257">
        <v>0</v>
      </c>
      <c r="L70" s="53">
        <f>+Inputs!J70</f>
        <v>0</v>
      </c>
      <c r="M70" s="53">
        <f>+Inputs!M70</f>
        <v>68</v>
      </c>
      <c r="N70" s="53">
        <f t="shared" si="14"/>
        <v>24139683.996687122</v>
      </c>
      <c r="O70" s="37">
        <f t="shared" si="9"/>
        <v>183339.94668712094</v>
      </c>
      <c r="P70" s="45">
        <f t="shared" si="10"/>
        <v>7.6530853916802442E-3</v>
      </c>
      <c r="Q70" s="12">
        <f t="shared" si="11"/>
        <v>7.6530853916802442E-3</v>
      </c>
      <c r="S70" s="76"/>
      <c r="T70" s="76" t="s">
        <v>30</v>
      </c>
      <c r="U70" s="76" t="s">
        <v>31</v>
      </c>
      <c r="V70" s="76" t="s">
        <v>32</v>
      </c>
      <c r="W70" s="76" t="s">
        <v>33</v>
      </c>
      <c r="X70" s="76" t="s">
        <v>34</v>
      </c>
    </row>
    <row r="71" spans="1:27" x14ac:dyDescent="0.2">
      <c r="A71" s="3" t="str">
        <f t="shared" si="12"/>
        <v>20189</v>
      </c>
      <c r="B71" s="49">
        <f t="shared" si="13"/>
        <v>2018</v>
      </c>
      <c r="C71" s="52">
        <v>43373</v>
      </c>
      <c r="D71" s="53">
        <f>+Inputs!D71</f>
        <v>21668452.539136905</v>
      </c>
      <c r="E71" s="53">
        <f>VLOOKUP(A71,'[11]HDD CDD Summary'!$R:$T,2,FALSE)</f>
        <v>45.04999999999999</v>
      </c>
      <c r="F71" s="53">
        <f>VLOOKUP(A71,'[11]HDD CDD Summary'!$R:$T,3,FALSE)</f>
        <v>76.399999999999977</v>
      </c>
      <c r="G71" s="53">
        <f>+Inputs!G71</f>
        <v>30</v>
      </c>
      <c r="H71" s="105">
        <f t="shared" si="6"/>
        <v>0.33333333333333331</v>
      </c>
      <c r="I71" s="53">
        <f>+Inputs!I71</f>
        <v>304</v>
      </c>
      <c r="J71" s="257">
        <v>0</v>
      </c>
      <c r="K71" s="257">
        <v>0</v>
      </c>
      <c r="L71" s="53">
        <f>+Inputs!J71</f>
        <v>0</v>
      </c>
      <c r="M71" s="53">
        <f>+Inputs!M71</f>
        <v>69</v>
      </c>
      <c r="N71" s="53">
        <f t="shared" si="14"/>
        <v>20997124.731436569</v>
      </c>
      <c r="O71" s="37">
        <f t="shared" si="9"/>
        <v>-671327.80770033598</v>
      </c>
      <c r="P71" s="45">
        <f t="shared" si="10"/>
        <v>-3.0981806683601607E-2</v>
      </c>
      <c r="Q71" s="12">
        <f t="shared" si="11"/>
        <v>3.0981806683601607E-2</v>
      </c>
      <c r="S71" t="s">
        <v>27</v>
      </c>
      <c r="T71">
        <v>7</v>
      </c>
      <c r="U71">
        <v>238424244349937.44</v>
      </c>
      <c r="V71">
        <v>34060606335705.348</v>
      </c>
      <c r="W71">
        <v>189.46943932251477</v>
      </c>
      <c r="X71">
        <v>5.1605413713013566E-59</v>
      </c>
    </row>
    <row r="72" spans="1:27" x14ac:dyDescent="0.2">
      <c r="A72" s="3" t="str">
        <f t="shared" si="12"/>
        <v>201810</v>
      </c>
      <c r="B72" s="49">
        <f t="shared" si="13"/>
        <v>2018</v>
      </c>
      <c r="C72" s="52">
        <v>43404</v>
      </c>
      <c r="D72" s="53">
        <f>+Inputs!D72</f>
        <v>21228062.899999999</v>
      </c>
      <c r="E72" s="53">
        <f>VLOOKUP(A72,'[11]HDD CDD Summary'!$R:$T,2,FALSE)</f>
        <v>289.40000000000003</v>
      </c>
      <c r="F72" s="53">
        <f>VLOOKUP(A72,'[11]HDD CDD Summary'!$R:$T,3,FALSE)</f>
        <v>8.1999999999999993</v>
      </c>
      <c r="G72" s="53">
        <f>+Inputs!G72</f>
        <v>31</v>
      </c>
      <c r="H72" s="105">
        <f t="shared" si="6"/>
        <v>1</v>
      </c>
      <c r="I72" s="53">
        <f>+Inputs!I72</f>
        <v>352</v>
      </c>
      <c r="J72" s="257">
        <v>0</v>
      </c>
      <c r="K72" s="257">
        <v>0</v>
      </c>
      <c r="L72" s="53">
        <f>+Inputs!J72</f>
        <v>0</v>
      </c>
      <c r="M72" s="53">
        <f>+Inputs!M72</f>
        <v>70</v>
      </c>
      <c r="N72" s="53">
        <f t="shared" si="14"/>
        <v>21362801.897015311</v>
      </c>
      <c r="O72" s="37">
        <f t="shared" si="9"/>
        <v>134738.99701531231</v>
      </c>
      <c r="P72" s="45">
        <f t="shared" si="10"/>
        <v>6.3472111256704595E-3</v>
      </c>
      <c r="Q72" s="12">
        <f t="shared" si="11"/>
        <v>6.3472111256704595E-3</v>
      </c>
      <c r="S72" t="s">
        <v>28</v>
      </c>
      <c r="T72">
        <v>112</v>
      </c>
      <c r="U72">
        <v>20134053931016.648</v>
      </c>
      <c r="V72">
        <v>179768338669.7915</v>
      </c>
    </row>
    <row r="73" spans="1:27" ht="13.5" thickBot="1" x14ac:dyDescent="0.25">
      <c r="A73" s="3" t="str">
        <f t="shared" si="12"/>
        <v>201811</v>
      </c>
      <c r="B73" s="49">
        <f t="shared" si="13"/>
        <v>2018</v>
      </c>
      <c r="C73" s="52">
        <v>43434</v>
      </c>
      <c r="D73" s="53">
        <f>+Inputs!D73</f>
        <v>22168373.890000001</v>
      </c>
      <c r="E73" s="53">
        <f>VLOOKUP(A73,'[11]HDD CDD Summary'!$R:$T,2,FALSE)</f>
        <v>494.1</v>
      </c>
      <c r="F73" s="53">
        <f>VLOOKUP(A73,'[11]HDD CDD Summary'!$R:$T,3,FALSE)</f>
        <v>0</v>
      </c>
      <c r="G73" s="53">
        <f>+Inputs!G73</f>
        <v>30</v>
      </c>
      <c r="H73" s="105">
        <f t="shared" si="6"/>
        <v>1</v>
      </c>
      <c r="I73" s="53">
        <f>+Inputs!I73</f>
        <v>352</v>
      </c>
      <c r="J73" s="257">
        <v>0</v>
      </c>
      <c r="K73" s="257">
        <v>0</v>
      </c>
      <c r="L73" s="53">
        <f>+Inputs!J73</f>
        <v>0</v>
      </c>
      <c r="M73" s="53">
        <f>+Inputs!M73</f>
        <v>71</v>
      </c>
      <c r="N73" s="53">
        <f t="shared" si="14"/>
        <v>21938144.585559171</v>
      </c>
      <c r="O73" s="37">
        <f t="shared" si="9"/>
        <v>-230229.3044408299</v>
      </c>
      <c r="P73" s="45">
        <f t="shared" si="10"/>
        <v>-1.0385484545832418E-2</v>
      </c>
      <c r="Q73" s="12">
        <f t="shared" si="11"/>
        <v>1.0385484545832418E-2</v>
      </c>
      <c r="S73" s="90" t="s">
        <v>11</v>
      </c>
      <c r="T73" s="90">
        <v>119</v>
      </c>
      <c r="U73" s="90">
        <v>258558298280954.09</v>
      </c>
      <c r="V73" s="90"/>
      <c r="W73" s="90"/>
      <c r="X73" s="90"/>
    </row>
    <row r="74" spans="1:27" x14ac:dyDescent="0.2">
      <c r="A74" s="3" t="str">
        <f t="shared" si="12"/>
        <v>201812</v>
      </c>
      <c r="B74" s="49">
        <f t="shared" si="13"/>
        <v>2018</v>
      </c>
      <c r="C74" s="52">
        <v>43465</v>
      </c>
      <c r="D74" s="53">
        <f>+Inputs!D74</f>
        <v>22187282.27</v>
      </c>
      <c r="E74" s="53">
        <f>VLOOKUP(A74,'[11]HDD CDD Summary'!$R:$T,2,FALSE)</f>
        <v>563.60000000000014</v>
      </c>
      <c r="F74" s="53">
        <f>VLOOKUP(A74,'[11]HDD CDD Summary'!$R:$T,3,FALSE)</f>
        <v>0</v>
      </c>
      <c r="G74" s="53">
        <f>+Inputs!G74</f>
        <v>31</v>
      </c>
      <c r="H74" s="105">
        <f t="shared" si="6"/>
        <v>0.66666666666666663</v>
      </c>
      <c r="I74" s="53">
        <f>+Inputs!I74</f>
        <v>304</v>
      </c>
      <c r="J74" s="257">
        <v>0</v>
      </c>
      <c r="K74" s="257">
        <v>0</v>
      </c>
      <c r="L74" s="53">
        <f>+Inputs!J74</f>
        <v>0</v>
      </c>
      <c r="M74" s="53">
        <f>+Inputs!M74</f>
        <v>72</v>
      </c>
      <c r="N74" s="53">
        <f t="shared" si="14"/>
        <v>22416240.510836821</v>
      </c>
      <c r="O74" s="37">
        <f t="shared" si="9"/>
        <v>228958.2408368215</v>
      </c>
      <c r="P74" s="45">
        <f t="shared" si="10"/>
        <v>1.031934592306521E-2</v>
      </c>
      <c r="Q74" s="12">
        <f t="shared" si="11"/>
        <v>1.031934592306521E-2</v>
      </c>
    </row>
    <row r="75" spans="1:27" x14ac:dyDescent="0.2">
      <c r="A75" s="3" t="str">
        <f t="shared" si="12"/>
        <v>20191</v>
      </c>
      <c r="B75" s="49">
        <f t="shared" si="13"/>
        <v>2019</v>
      </c>
      <c r="C75" s="52">
        <v>43496</v>
      </c>
      <c r="D75" s="53">
        <f>+Inputs!D75</f>
        <v>24587574.760000002</v>
      </c>
      <c r="E75" s="53">
        <f>VLOOKUP(A75,'[11]HDD CDD Summary'!$R:$T,2,FALSE)</f>
        <v>764.5</v>
      </c>
      <c r="F75" s="53">
        <f>VLOOKUP(A75,'[11]HDD CDD Summary'!$R:$T,3,FALSE)</f>
        <v>0</v>
      </c>
      <c r="G75" s="53">
        <f>+Inputs!G75</f>
        <v>31</v>
      </c>
      <c r="H75" s="105">
        <f t="shared" si="6"/>
        <v>0</v>
      </c>
      <c r="I75" s="53">
        <f>+Inputs!I75</f>
        <v>352</v>
      </c>
      <c r="J75" s="257">
        <v>0</v>
      </c>
      <c r="K75" s="257">
        <v>0</v>
      </c>
      <c r="L75" s="53">
        <f>+Inputs!J75</f>
        <v>0</v>
      </c>
      <c r="M75" s="53">
        <f>+Inputs!M75</f>
        <v>73</v>
      </c>
      <c r="N75" s="53">
        <f t="shared" si="14"/>
        <v>24484959.237116281</v>
      </c>
      <c r="O75" s="37">
        <f t="shared" si="9"/>
        <v>-102615.5228837207</v>
      </c>
      <c r="P75" s="45">
        <f t="shared" si="10"/>
        <v>-4.1734707015780798E-3</v>
      </c>
      <c r="Q75" s="12">
        <f t="shared" si="11"/>
        <v>4.1734707015780798E-3</v>
      </c>
      <c r="R75" s="46"/>
      <c r="S75" s="76"/>
      <c r="T75" s="76" t="s">
        <v>35</v>
      </c>
      <c r="U75" s="76" t="s">
        <v>24</v>
      </c>
      <c r="V75" s="76" t="s">
        <v>36</v>
      </c>
      <c r="W75" s="76" t="s">
        <v>37</v>
      </c>
      <c r="X75" s="76" t="s">
        <v>38</v>
      </c>
      <c r="Y75" s="76" t="s">
        <v>39</v>
      </c>
      <c r="Z75" s="76" t="s">
        <v>105</v>
      </c>
      <c r="AA75" s="76" t="s">
        <v>106</v>
      </c>
    </row>
    <row r="76" spans="1:27" x14ac:dyDescent="0.2">
      <c r="A76" s="3" t="str">
        <f t="shared" si="12"/>
        <v>20192</v>
      </c>
      <c r="B76" s="49">
        <f t="shared" si="13"/>
        <v>2019</v>
      </c>
      <c r="C76" s="52">
        <v>43524</v>
      </c>
      <c r="D76" s="53">
        <f>+Inputs!D76</f>
        <v>21580871.099999998</v>
      </c>
      <c r="E76" s="53">
        <f>VLOOKUP(A76,'[11]HDD CDD Summary'!$R:$T,2,FALSE)</f>
        <v>621.70000000000016</v>
      </c>
      <c r="F76" s="53">
        <f>VLOOKUP(A76,'[11]HDD CDD Summary'!$R:$T,3,FALSE)</f>
        <v>0</v>
      </c>
      <c r="G76" s="53">
        <f>+Inputs!G76</f>
        <v>28</v>
      </c>
      <c r="H76" s="105">
        <f t="shared" si="6"/>
        <v>0</v>
      </c>
      <c r="I76" s="53">
        <f>+Inputs!I76</f>
        <v>304</v>
      </c>
      <c r="J76" s="257">
        <v>0</v>
      </c>
      <c r="K76" s="257">
        <v>0</v>
      </c>
      <c r="L76" s="53">
        <f>+Inputs!J76</f>
        <v>0</v>
      </c>
      <c r="M76" s="53">
        <f>+Inputs!M76</f>
        <v>74</v>
      </c>
      <c r="N76" s="53">
        <f t="shared" si="14"/>
        <v>21873465.646697149</v>
      </c>
      <c r="O76" s="37">
        <f t="shared" si="9"/>
        <v>292594.54669715092</v>
      </c>
      <c r="P76" s="45">
        <f t="shared" si="10"/>
        <v>1.3558050800699651E-2</v>
      </c>
      <c r="Q76" s="12">
        <f t="shared" si="11"/>
        <v>1.3558050800699651E-2</v>
      </c>
      <c r="S76" t="s">
        <v>29</v>
      </c>
      <c r="T76" s="113">
        <v>2258658.1192288594</v>
      </c>
      <c r="U76" s="113">
        <v>1496349.7974814321</v>
      </c>
      <c r="V76" s="113">
        <v>1.5094452667621567</v>
      </c>
      <c r="W76" s="113">
        <v>0.13400103060277765</v>
      </c>
      <c r="X76" s="113">
        <v>-706167.19469671417</v>
      </c>
      <c r="Y76" s="113">
        <v>5223483.433154433</v>
      </c>
      <c r="Z76" s="113">
        <v>-706167.19469671417</v>
      </c>
      <c r="AA76" s="113">
        <v>5223483.433154433</v>
      </c>
    </row>
    <row r="77" spans="1:27" x14ac:dyDescent="0.2">
      <c r="A77" s="3" t="str">
        <f t="shared" si="12"/>
        <v>20193</v>
      </c>
      <c r="B77" s="49">
        <f t="shared" si="13"/>
        <v>2019</v>
      </c>
      <c r="C77" s="52">
        <v>43555</v>
      </c>
      <c r="D77" s="53">
        <f>+Inputs!D77</f>
        <v>23246608.300000001</v>
      </c>
      <c r="E77" s="53">
        <f>VLOOKUP(A77,'[11]HDD CDD Summary'!$R:$T,2,FALSE)</f>
        <v>593.90000000000009</v>
      </c>
      <c r="F77" s="53">
        <f>VLOOKUP(A77,'[11]HDD CDD Summary'!$R:$T,3,FALSE)</f>
        <v>0</v>
      </c>
      <c r="G77" s="53">
        <f>+Inputs!G77</f>
        <v>31</v>
      </c>
      <c r="H77" s="105">
        <f t="shared" si="6"/>
        <v>0.33333333333333331</v>
      </c>
      <c r="I77" s="53">
        <f>+Inputs!I77</f>
        <v>336</v>
      </c>
      <c r="J77" s="257">
        <v>0</v>
      </c>
      <c r="K77" s="257">
        <v>0</v>
      </c>
      <c r="L77" s="53">
        <f>+Inputs!J77</f>
        <v>0</v>
      </c>
      <c r="M77" s="53">
        <f>+Inputs!M77</f>
        <v>75</v>
      </c>
      <c r="N77" s="53">
        <f t="shared" si="14"/>
        <v>23169722.729762804</v>
      </c>
      <c r="O77" s="37">
        <f t="shared" si="9"/>
        <v>-76885.570237196982</v>
      </c>
      <c r="P77" s="45">
        <f t="shared" si="10"/>
        <v>-3.3073887272061526E-3</v>
      </c>
      <c r="Q77" s="12">
        <f t="shared" si="11"/>
        <v>3.3073887272061526E-3</v>
      </c>
      <c r="S77" t="s">
        <v>4</v>
      </c>
      <c r="T77" s="113">
        <v>5946.3608205387</v>
      </c>
      <c r="U77" s="113">
        <v>270.60569874209762</v>
      </c>
      <c r="V77" s="113">
        <v>21.974263100075785</v>
      </c>
      <c r="W77" s="113">
        <v>2.0390315905097663E-42</v>
      </c>
      <c r="X77" s="113">
        <v>5410.1903161062</v>
      </c>
      <c r="Y77" s="113">
        <v>6482.5313249711999</v>
      </c>
      <c r="Z77" s="113">
        <v>5410.1903161062</v>
      </c>
      <c r="AA77" s="113">
        <v>6482.5313249711999</v>
      </c>
    </row>
    <row r="78" spans="1:27" x14ac:dyDescent="0.2">
      <c r="A78" s="3" t="str">
        <f t="shared" si="12"/>
        <v>20194</v>
      </c>
      <c r="B78" s="49">
        <f t="shared" si="13"/>
        <v>2019</v>
      </c>
      <c r="C78" s="52">
        <v>43585</v>
      </c>
      <c r="D78" s="53">
        <f>+Inputs!D78</f>
        <v>20642403.32</v>
      </c>
      <c r="E78" s="53">
        <f>VLOOKUP(A78,'[11]HDD CDD Summary'!$R:$T,2,FALSE)</f>
        <v>346.8</v>
      </c>
      <c r="F78" s="53">
        <f>VLOOKUP(A78,'[11]HDD CDD Summary'!$R:$T,3,FALSE)</f>
        <v>0</v>
      </c>
      <c r="G78" s="53">
        <f>+Inputs!G78</f>
        <v>30</v>
      </c>
      <c r="H78" s="105">
        <f t="shared" si="6"/>
        <v>1</v>
      </c>
      <c r="I78" s="53">
        <f>+Inputs!I78</f>
        <v>336</v>
      </c>
      <c r="J78" s="257">
        <v>0</v>
      </c>
      <c r="K78" s="257">
        <v>0</v>
      </c>
      <c r="L78" s="53">
        <f>+Inputs!J78</f>
        <v>0</v>
      </c>
      <c r="M78" s="53">
        <f>+Inputs!M78</f>
        <v>76</v>
      </c>
      <c r="N78" s="53">
        <f t="shared" si="14"/>
        <v>20977896.319260921</v>
      </c>
      <c r="O78" s="37">
        <f t="shared" si="9"/>
        <v>335492.99926092103</v>
      </c>
      <c r="P78" s="45">
        <f t="shared" si="10"/>
        <v>1.6252613325109716E-2</v>
      </c>
      <c r="Q78" s="12">
        <f t="shared" si="11"/>
        <v>1.6252613325109716E-2</v>
      </c>
      <c r="S78" t="s">
        <v>5</v>
      </c>
      <c r="T78" s="113">
        <v>24882.048393118192</v>
      </c>
      <c r="U78" s="113">
        <v>1520.2390433348951</v>
      </c>
      <c r="V78" s="113">
        <v>16.367194687050869</v>
      </c>
      <c r="W78" s="113">
        <v>1.7632746982543656E-31</v>
      </c>
      <c r="X78" s="113">
        <v>21869.889600779916</v>
      </c>
      <c r="Y78" s="113">
        <v>27894.207185456467</v>
      </c>
      <c r="Z78" s="113">
        <v>21869.889600779916</v>
      </c>
      <c r="AA78" s="113">
        <v>27894.207185456467</v>
      </c>
    </row>
    <row r="79" spans="1:27" x14ac:dyDescent="0.2">
      <c r="A79" s="3" t="str">
        <f t="shared" si="12"/>
        <v>20195</v>
      </c>
      <c r="B79" s="49">
        <f t="shared" si="13"/>
        <v>2019</v>
      </c>
      <c r="C79" s="52">
        <v>43616</v>
      </c>
      <c r="D79" s="53">
        <f>+Inputs!D79</f>
        <v>20313028.579999998</v>
      </c>
      <c r="E79" s="53">
        <f>VLOOKUP(A79,'[11]HDD CDD Summary'!$R:$T,2,FALSE)</f>
        <v>189.94999999999996</v>
      </c>
      <c r="F79" s="53">
        <f>VLOOKUP(A79,'[11]HDD CDD Summary'!$R:$T,3,FALSE)</f>
        <v>0</v>
      </c>
      <c r="G79" s="53">
        <f>+Inputs!G79</f>
        <v>31</v>
      </c>
      <c r="H79" s="105">
        <f t="shared" si="6"/>
        <v>1</v>
      </c>
      <c r="I79" s="53">
        <f>+Inputs!I79</f>
        <v>352</v>
      </c>
      <c r="J79" s="257">
        <v>0</v>
      </c>
      <c r="K79" s="257">
        <v>0</v>
      </c>
      <c r="L79" s="53">
        <f>+Inputs!J79</f>
        <v>0</v>
      </c>
      <c r="M79" s="53">
        <f>+Inputs!M79</f>
        <v>77</v>
      </c>
      <c r="N79" s="53">
        <f t="shared" si="14"/>
        <v>20686122.953697696</v>
      </c>
      <c r="O79" s="37">
        <f t="shared" si="9"/>
        <v>373094.37369769812</v>
      </c>
      <c r="P79" s="45">
        <f t="shared" si="10"/>
        <v>1.8367245053012089E-2</v>
      </c>
      <c r="Q79" s="12">
        <f t="shared" si="11"/>
        <v>1.8367245053012089E-2</v>
      </c>
      <c r="S79" t="s">
        <v>6</v>
      </c>
      <c r="T79" s="113">
        <v>406448.70984653354</v>
      </c>
      <c r="U79" s="113">
        <v>55060.738850609203</v>
      </c>
      <c r="V79" s="113">
        <v>7.3818244784057505</v>
      </c>
      <c r="W79" s="113">
        <v>2.948905158177983E-11</v>
      </c>
      <c r="X79" s="113">
        <v>297352.91378167178</v>
      </c>
      <c r="Y79" s="113">
        <v>515544.5059113953</v>
      </c>
      <c r="Z79" s="113">
        <v>297352.91378167178</v>
      </c>
      <c r="AA79" s="113">
        <v>515544.5059113953</v>
      </c>
    </row>
    <row r="80" spans="1:27" x14ac:dyDescent="0.2">
      <c r="A80" s="3" t="str">
        <f t="shared" si="12"/>
        <v>20196</v>
      </c>
      <c r="B80" s="49">
        <f t="shared" si="13"/>
        <v>2019</v>
      </c>
      <c r="C80" s="52">
        <v>43646</v>
      </c>
      <c r="D80" s="53">
        <f>+Inputs!D80</f>
        <v>20039267.039999999</v>
      </c>
      <c r="E80" s="53">
        <f>VLOOKUP(A80,'[11]HDD CDD Summary'!$R:$T,2,FALSE)</f>
        <v>35.5</v>
      </c>
      <c r="F80" s="53">
        <f>VLOOKUP(A80,'[11]HDD CDD Summary'!$R:$T,3,FALSE)</f>
        <v>41.300000000000004</v>
      </c>
      <c r="G80" s="53">
        <f>+Inputs!G80</f>
        <v>30</v>
      </c>
      <c r="H80" s="105">
        <f t="shared" ref="H80:H143" si="15">+H68</f>
        <v>0.66666666666666663</v>
      </c>
      <c r="I80" s="53">
        <f>+Inputs!I80</f>
        <v>320</v>
      </c>
      <c r="J80" s="257">
        <v>0</v>
      </c>
      <c r="K80" s="257">
        <v>0</v>
      </c>
      <c r="L80" s="53">
        <f>+Inputs!J80</f>
        <v>0</v>
      </c>
      <c r="M80" s="53">
        <f>+Inputs!M80</f>
        <v>78</v>
      </c>
      <c r="N80" s="53">
        <f t="shared" si="14"/>
        <v>20212913.688062888</v>
      </c>
      <c r="O80" s="37">
        <f t="shared" si="9"/>
        <v>173646.64806288853</v>
      </c>
      <c r="P80" s="45">
        <f t="shared" si="10"/>
        <v>8.665319331105063E-3</v>
      </c>
      <c r="Q80" s="12">
        <f t="shared" si="11"/>
        <v>8.665319331105063E-3</v>
      </c>
      <c r="S80" t="s">
        <v>18</v>
      </c>
      <c r="T80" s="113">
        <v>-467101.48120819684</v>
      </c>
      <c r="U80" s="113">
        <v>135091.28327382391</v>
      </c>
      <c r="V80" s="113">
        <v>-3.4576729888737772</v>
      </c>
      <c r="W80" s="113">
        <v>7.712010646615823E-4</v>
      </c>
      <c r="X80" s="113">
        <v>-734767.54232242214</v>
      </c>
      <c r="Y80" s="113">
        <v>-199435.4200939716</v>
      </c>
      <c r="Z80" s="113">
        <v>-734767.54232242214</v>
      </c>
      <c r="AA80" s="113">
        <v>-199435.4200939716</v>
      </c>
    </row>
    <row r="81" spans="1:27" x14ac:dyDescent="0.2">
      <c r="A81" s="3" t="str">
        <f t="shared" si="12"/>
        <v>20197</v>
      </c>
      <c r="B81" s="49">
        <f t="shared" si="13"/>
        <v>2019</v>
      </c>
      <c r="C81" s="52">
        <v>43677</v>
      </c>
      <c r="D81" s="53">
        <f>+Inputs!D81</f>
        <v>24391822</v>
      </c>
      <c r="E81" s="53">
        <f>VLOOKUP(A81,'[11]HDD CDD Summary'!$R:$T,2,FALSE)</f>
        <v>0</v>
      </c>
      <c r="F81" s="53">
        <f>VLOOKUP(A81,'[11]HDD CDD Summary'!$R:$T,3,FALSE)</f>
        <v>166.90000000000003</v>
      </c>
      <c r="G81" s="53">
        <f>+Inputs!G81</f>
        <v>31</v>
      </c>
      <c r="H81" s="105">
        <f t="shared" si="15"/>
        <v>0</v>
      </c>
      <c r="I81" s="53">
        <f>+Inputs!I81</f>
        <v>352</v>
      </c>
      <c r="J81" s="257">
        <v>0</v>
      </c>
      <c r="K81" s="257">
        <v>0</v>
      </c>
      <c r="L81" s="53">
        <f>+Inputs!J81</f>
        <v>0</v>
      </c>
      <c r="M81" s="53">
        <f>+Inputs!M81</f>
        <v>79</v>
      </c>
      <c r="N81" s="53">
        <f t="shared" si="14"/>
        <v>24216224.100572426</v>
      </c>
      <c r="O81" s="37">
        <f t="shared" si="9"/>
        <v>-175597.89942757413</v>
      </c>
      <c r="P81" s="45">
        <f t="shared" si="10"/>
        <v>-7.1990480837214261E-3</v>
      </c>
      <c r="Q81" s="12">
        <f t="shared" si="11"/>
        <v>7.1990480837214261E-3</v>
      </c>
      <c r="R81"/>
      <c r="S81" t="s">
        <v>7</v>
      </c>
      <c r="T81" s="113">
        <v>11627.963665702044</v>
      </c>
      <c r="U81" s="113">
        <v>2635.4973446893673</v>
      </c>
      <c r="V81" s="113">
        <v>4.4120566803578294</v>
      </c>
      <c r="W81" s="113">
        <v>2.3661190114191892E-5</v>
      </c>
      <c r="X81" s="113">
        <v>6406.0635087531946</v>
      </c>
      <c r="Y81" s="113">
        <v>16849.863822650892</v>
      </c>
      <c r="Z81" s="113">
        <v>6406.0635087531946</v>
      </c>
      <c r="AA81" s="113">
        <v>16849.863822650892</v>
      </c>
    </row>
    <row r="82" spans="1:27" x14ac:dyDescent="0.2">
      <c r="A82" s="3" t="str">
        <f t="shared" si="12"/>
        <v>20198</v>
      </c>
      <c r="B82" s="49">
        <f t="shared" si="13"/>
        <v>2019</v>
      </c>
      <c r="C82" s="52">
        <v>43708</v>
      </c>
      <c r="D82" s="53">
        <f>+Inputs!D82</f>
        <v>22245573.850000001</v>
      </c>
      <c r="E82" s="53">
        <f>VLOOKUP(A82,'[11]HDD CDD Summary'!$R:$T,2,FALSE)</f>
        <v>0.89999999999999991</v>
      </c>
      <c r="F82" s="53">
        <f>VLOOKUP(A82,'[11]HDD CDD Summary'!$R:$T,3,FALSE)</f>
        <v>103.30000000000003</v>
      </c>
      <c r="G82" s="53">
        <f>+Inputs!G82</f>
        <v>31</v>
      </c>
      <c r="H82" s="105">
        <f t="shared" si="15"/>
        <v>0</v>
      </c>
      <c r="I82" s="53">
        <f>+Inputs!I82</f>
        <v>352</v>
      </c>
      <c r="J82" s="257">
        <v>0</v>
      </c>
      <c r="K82" s="257">
        <v>0</v>
      </c>
      <c r="L82" s="53">
        <f>+Inputs!J82</f>
        <v>0</v>
      </c>
      <c r="M82" s="53">
        <f>+Inputs!M82</f>
        <v>80</v>
      </c>
      <c r="N82" s="53">
        <f t="shared" si="14"/>
        <v>22686960.553532295</v>
      </c>
      <c r="O82" s="37">
        <f t="shared" si="9"/>
        <v>441386.70353229344</v>
      </c>
      <c r="P82" s="45">
        <f t="shared" si="10"/>
        <v>1.9841551695115898E-2</v>
      </c>
      <c r="Q82" s="12">
        <f t="shared" si="11"/>
        <v>1.9841551695115898E-2</v>
      </c>
      <c r="R82"/>
      <c r="S82" t="s">
        <v>145</v>
      </c>
      <c r="T82" s="113">
        <v>-2294129.6123667345</v>
      </c>
      <c r="U82" s="113">
        <v>430609.75981974351</v>
      </c>
      <c r="V82" s="113">
        <v>-5.3276303196821981</v>
      </c>
      <c r="W82" s="113">
        <v>5.200446127897796E-7</v>
      </c>
      <c r="X82" s="113">
        <v>-3147327.6536842287</v>
      </c>
      <c r="Y82" s="113">
        <v>-1440931.5710492404</v>
      </c>
      <c r="Z82" s="113">
        <v>-3147327.6536842287</v>
      </c>
      <c r="AA82" s="113">
        <v>-1440931.5710492404</v>
      </c>
    </row>
    <row r="83" spans="1:27" ht="13.5" thickBot="1" x14ac:dyDescent="0.25">
      <c r="A83" s="3" t="str">
        <f t="shared" si="12"/>
        <v>20199</v>
      </c>
      <c r="B83" s="49">
        <f t="shared" si="13"/>
        <v>2019</v>
      </c>
      <c r="C83" s="52">
        <v>43738</v>
      </c>
      <c r="D83" s="53">
        <f>+Inputs!D83</f>
        <v>20055564.270000003</v>
      </c>
      <c r="E83" s="53">
        <f>VLOOKUP(A83,'[11]HDD CDD Summary'!$R:$T,2,FALSE)</f>
        <v>38.400000000000006</v>
      </c>
      <c r="F83" s="53">
        <f>VLOOKUP(A83,'[11]HDD CDD Summary'!$R:$T,3,FALSE)</f>
        <v>25.400000000000002</v>
      </c>
      <c r="G83" s="53">
        <f>+Inputs!G83</f>
        <v>30</v>
      </c>
      <c r="H83" s="105">
        <f t="shared" si="15"/>
        <v>0.33333333333333331</v>
      </c>
      <c r="I83" s="53">
        <f>+Inputs!I83</f>
        <v>320</v>
      </c>
      <c r="J83" s="257">
        <v>0</v>
      </c>
      <c r="K83" s="257">
        <v>0</v>
      </c>
      <c r="L83" s="53">
        <f>+Inputs!J83</f>
        <v>0</v>
      </c>
      <c r="M83" s="53">
        <f>+Inputs!M83</f>
        <v>81</v>
      </c>
      <c r="N83" s="53">
        <f t="shared" si="14"/>
        <v>20062989.275371831</v>
      </c>
      <c r="O83" s="37">
        <f t="shared" si="9"/>
        <v>7425.0053718276322</v>
      </c>
      <c r="P83" s="45">
        <f t="shared" si="10"/>
        <v>3.7022171362858548E-4</v>
      </c>
      <c r="Q83" s="12">
        <f t="shared" si="11"/>
        <v>3.7022171362858548E-4</v>
      </c>
      <c r="R83"/>
      <c r="S83" s="90" t="s">
        <v>70</v>
      </c>
      <c r="T83" s="114">
        <v>13922.408318102209</v>
      </c>
      <c r="U83" s="114">
        <v>1130.3424725072434</v>
      </c>
      <c r="V83" s="114">
        <v>12.316982380765129</v>
      </c>
      <c r="W83" s="114">
        <v>1.4687536347506538E-22</v>
      </c>
      <c r="X83" s="114">
        <v>11682.779601918764</v>
      </c>
      <c r="Y83" s="114">
        <v>16162.037034285653</v>
      </c>
      <c r="Z83" s="114">
        <v>11682.779601918764</v>
      </c>
      <c r="AA83" s="114">
        <v>16162.037034285653</v>
      </c>
    </row>
    <row r="84" spans="1:27" x14ac:dyDescent="0.2">
      <c r="A84" s="3" t="str">
        <f t="shared" si="12"/>
        <v>201910</v>
      </c>
      <c r="B84" s="49">
        <f t="shared" si="13"/>
        <v>2019</v>
      </c>
      <c r="C84" s="52">
        <v>43769</v>
      </c>
      <c r="D84" s="53">
        <f>+Inputs!D84</f>
        <v>20697385.880000003</v>
      </c>
      <c r="E84" s="53">
        <f>VLOOKUP(A84,'[11]HDD CDD Summary'!$R:$T,2,FALSE)</f>
        <v>236.5</v>
      </c>
      <c r="F84" s="53">
        <f>VLOOKUP(A84,'[11]HDD CDD Summary'!$R:$T,3,FALSE)</f>
        <v>5.0999999999999996</v>
      </c>
      <c r="G84" s="53">
        <f>+Inputs!G84</f>
        <v>31</v>
      </c>
      <c r="H84" s="105">
        <f t="shared" si="15"/>
        <v>1</v>
      </c>
      <c r="I84" s="53">
        <f>+Inputs!I84</f>
        <v>352</v>
      </c>
      <c r="J84" s="257">
        <v>0</v>
      </c>
      <c r="K84" s="257">
        <v>0</v>
      </c>
      <c r="L84" s="53">
        <f>+Inputs!J84</f>
        <v>0</v>
      </c>
      <c r="M84" s="53">
        <f>+Inputs!M84</f>
        <v>82</v>
      </c>
      <c r="N84" s="53">
        <f t="shared" si="14"/>
        <v>21148658.411544878</v>
      </c>
      <c r="O84" s="37">
        <f t="shared" si="9"/>
        <v>451272.53154487535</v>
      </c>
      <c r="P84" s="45">
        <f t="shared" si="10"/>
        <v>2.180335884740606E-2</v>
      </c>
      <c r="Q84" s="12">
        <f t="shared" si="11"/>
        <v>2.180335884740606E-2</v>
      </c>
      <c r="R84"/>
    </row>
    <row r="85" spans="1:27" x14ac:dyDescent="0.2">
      <c r="A85" s="3" t="str">
        <f t="shared" si="12"/>
        <v>201911</v>
      </c>
      <c r="B85" s="49">
        <f t="shared" si="13"/>
        <v>2019</v>
      </c>
      <c r="C85" s="52">
        <v>43799</v>
      </c>
      <c r="D85" s="53">
        <f>+Inputs!D85</f>
        <v>22060075.600000001</v>
      </c>
      <c r="E85" s="53">
        <f>VLOOKUP(A85,'[11]HDD CDD Summary'!$R:$T,2,FALSE)</f>
        <v>513.30000000000007</v>
      </c>
      <c r="F85" s="53">
        <f>VLOOKUP(A85,'[11]HDD CDD Summary'!$R:$T,3,FALSE)</f>
        <v>0</v>
      </c>
      <c r="G85" s="53">
        <f>+Inputs!G85</f>
        <v>30</v>
      </c>
      <c r="H85" s="105">
        <f t="shared" si="15"/>
        <v>1</v>
      </c>
      <c r="I85" s="53">
        <f>+Inputs!I85</f>
        <v>336</v>
      </c>
      <c r="J85" s="257">
        <v>0</v>
      </c>
      <c r="K85" s="257">
        <v>0</v>
      </c>
      <c r="L85" s="53">
        <f>+Inputs!J85</f>
        <v>0</v>
      </c>
      <c r="M85" s="53">
        <f>+Inputs!M85</f>
        <v>83</v>
      </c>
      <c r="N85" s="53">
        <f t="shared" si="14"/>
        <v>22036856.110131875</v>
      </c>
      <c r="O85" s="37">
        <f t="shared" si="9"/>
        <v>-23219.48986812681</v>
      </c>
      <c r="P85" s="45">
        <f t="shared" si="10"/>
        <v>-1.0525571303176681E-3</v>
      </c>
      <c r="Q85" s="12">
        <f t="shared" si="11"/>
        <v>1.0525571303176681E-3</v>
      </c>
      <c r="R85"/>
    </row>
    <row r="86" spans="1:27" x14ac:dyDescent="0.2">
      <c r="A86" s="3" t="str">
        <f t="shared" si="12"/>
        <v>201912</v>
      </c>
      <c r="B86" s="49">
        <f t="shared" si="13"/>
        <v>2019</v>
      </c>
      <c r="C86" s="52">
        <v>43830</v>
      </c>
      <c r="D86" s="53">
        <f>+Inputs!D86</f>
        <v>22125178.859999999</v>
      </c>
      <c r="E86" s="53">
        <f>VLOOKUP(A86,'[11]HDD CDD Summary'!$R:$T,2,FALSE)</f>
        <v>582.4</v>
      </c>
      <c r="F86" s="53">
        <f>VLOOKUP(A86,'[11]HDD CDD Summary'!$R:$T,3,FALSE)</f>
        <v>0</v>
      </c>
      <c r="G86" s="53">
        <f>+Inputs!G86</f>
        <v>31</v>
      </c>
      <c r="H86" s="105">
        <f t="shared" si="15"/>
        <v>0.66666666666666663</v>
      </c>
      <c r="I86" s="53">
        <f>+Inputs!I86</f>
        <v>320</v>
      </c>
      <c r="J86" s="257">
        <v>0</v>
      </c>
      <c r="K86" s="257">
        <v>0</v>
      </c>
      <c r="L86" s="53">
        <f>+Inputs!J86</f>
        <v>0</v>
      </c>
      <c r="M86" s="53">
        <f>+Inputs!M86</f>
        <v>84</v>
      </c>
      <c r="N86" s="53">
        <f t="shared" si="14"/>
        <v>22870706.967861533</v>
      </c>
      <c r="O86" s="37">
        <f t="shared" si="9"/>
        <v>745528.10786153376</v>
      </c>
      <c r="P86" s="45">
        <f t="shared" si="10"/>
        <v>3.3695913266010714E-2</v>
      </c>
      <c r="Q86" s="12">
        <f t="shared" si="11"/>
        <v>3.3695913266010714E-2</v>
      </c>
      <c r="R86"/>
    </row>
    <row r="87" spans="1:27" x14ac:dyDescent="0.2">
      <c r="A87" s="3" t="str">
        <f t="shared" si="12"/>
        <v>20201</v>
      </c>
      <c r="B87" s="49">
        <f t="shared" si="13"/>
        <v>2020</v>
      </c>
      <c r="C87" s="52">
        <v>43861</v>
      </c>
      <c r="D87" s="53">
        <f>+Inputs!D87</f>
        <v>23214919.18</v>
      </c>
      <c r="E87" s="53">
        <f>VLOOKUP(A87,'[11]HDD CDD Summary'!$R:$T,2,FALSE)</f>
        <v>605</v>
      </c>
      <c r="F87" s="53">
        <f>VLOOKUP(A87,'[11]HDD CDD Summary'!$R:$T,3,FALSE)</f>
        <v>0</v>
      </c>
      <c r="G87" s="53">
        <f>+Inputs!G87</f>
        <v>31</v>
      </c>
      <c r="H87" s="105">
        <f t="shared" si="15"/>
        <v>0</v>
      </c>
      <c r="I87" s="53">
        <f>+Inputs!I87</f>
        <v>352</v>
      </c>
      <c r="J87" s="257">
        <v>0</v>
      </c>
      <c r="K87" s="257">
        <v>0</v>
      </c>
      <c r="L87" s="53">
        <f>+Inputs!J87</f>
        <v>0</v>
      </c>
      <c r="M87" s="53">
        <f>+Inputs!M87</f>
        <v>85</v>
      </c>
      <c r="N87" s="53">
        <f t="shared" si="14"/>
        <v>23730613.145854611</v>
      </c>
      <c r="O87" s="37">
        <f t="shared" si="9"/>
        <v>515693.96585461125</v>
      </c>
      <c r="P87" s="45">
        <f t="shared" si="10"/>
        <v>2.2213903130831887E-2</v>
      </c>
      <c r="Q87" s="12">
        <f t="shared" si="11"/>
        <v>2.2213903130831887E-2</v>
      </c>
      <c r="R87"/>
    </row>
    <row r="88" spans="1:27" x14ac:dyDescent="0.2">
      <c r="A88" s="3" t="str">
        <f t="shared" si="12"/>
        <v>20202</v>
      </c>
      <c r="B88" s="49">
        <f t="shared" si="13"/>
        <v>2020</v>
      </c>
      <c r="C88" s="52">
        <v>43890</v>
      </c>
      <c r="D88" s="53">
        <f>+Inputs!D88</f>
        <v>21739398</v>
      </c>
      <c r="E88" s="53">
        <f>VLOOKUP(A88,'[11]HDD CDD Summary'!$R:$T,2,FALSE)</f>
        <v>611.79999999999995</v>
      </c>
      <c r="F88" s="53">
        <f>VLOOKUP(A88,'[11]HDD CDD Summary'!$R:$T,3,FALSE)</f>
        <v>0</v>
      </c>
      <c r="G88" s="53">
        <f>+Inputs!G88</f>
        <v>29</v>
      </c>
      <c r="H88" s="105">
        <f t="shared" si="15"/>
        <v>0</v>
      </c>
      <c r="I88" s="53">
        <f>+Inputs!I88</f>
        <v>304</v>
      </c>
      <c r="J88" s="257">
        <v>0</v>
      </c>
      <c r="K88" s="257">
        <v>0</v>
      </c>
      <c r="L88" s="53">
        <f>+Inputs!J88</f>
        <v>0</v>
      </c>
      <c r="M88" s="53">
        <f>+Inputs!M88</f>
        <v>86</v>
      </c>
      <c r="N88" s="53">
        <f t="shared" si="14"/>
        <v>22404325.426855143</v>
      </c>
      <c r="O88" s="37">
        <f t="shared" si="9"/>
        <v>664927.42685514316</v>
      </c>
      <c r="P88" s="45">
        <f t="shared" si="10"/>
        <v>3.0586285179338597E-2</v>
      </c>
      <c r="Q88" s="12">
        <f t="shared" si="11"/>
        <v>3.0586285179338597E-2</v>
      </c>
      <c r="R88"/>
    </row>
    <row r="89" spans="1:27" x14ac:dyDescent="0.2">
      <c r="A89" s="3" t="str">
        <f t="shared" si="12"/>
        <v>20203</v>
      </c>
      <c r="B89" s="49">
        <f t="shared" si="13"/>
        <v>2020</v>
      </c>
      <c r="C89" s="52">
        <v>43921</v>
      </c>
      <c r="D89" s="53">
        <f>+Inputs!D89</f>
        <v>21884530.75</v>
      </c>
      <c r="E89" s="53">
        <f>VLOOKUP(A89,'[11]HDD CDD Summary'!$R:$T,2,FALSE)</f>
        <v>458.69999999999993</v>
      </c>
      <c r="F89" s="53">
        <f>VLOOKUP(A89,'[11]HDD CDD Summary'!$R:$T,3,FALSE)</f>
        <v>0</v>
      </c>
      <c r="G89" s="53">
        <f>+Inputs!G89</f>
        <v>31</v>
      </c>
      <c r="H89" s="105">
        <f t="shared" si="15"/>
        <v>0.33333333333333331</v>
      </c>
      <c r="I89" s="53">
        <f>+Inputs!I89</f>
        <v>352</v>
      </c>
      <c r="J89" s="258">
        <v>1</v>
      </c>
      <c r="K89" s="257">
        <v>0</v>
      </c>
      <c r="L89" s="53">
        <v>0</v>
      </c>
      <c r="M89" s="53">
        <f>+Inputs!M89</f>
        <v>87</v>
      </c>
      <c r="N89" s="53">
        <f t="shared" si="14"/>
        <v>22697368.531319294</v>
      </c>
      <c r="O89" s="37">
        <f t="shared" si="9"/>
        <v>812837.78131929412</v>
      </c>
      <c r="P89" s="45">
        <f t="shared" si="10"/>
        <v>3.7142116072984302E-2</v>
      </c>
      <c r="Q89" s="12">
        <f t="shared" si="11"/>
        <v>3.7142116072984302E-2</v>
      </c>
      <c r="R89"/>
    </row>
    <row r="90" spans="1:27" x14ac:dyDescent="0.2">
      <c r="A90" s="3" t="str">
        <f t="shared" si="12"/>
        <v>20204</v>
      </c>
      <c r="B90" s="49">
        <f t="shared" si="13"/>
        <v>2020</v>
      </c>
      <c r="C90" s="52">
        <v>43951</v>
      </c>
      <c r="D90" s="53">
        <f>+Inputs!D90</f>
        <v>18977422.57</v>
      </c>
      <c r="E90" s="53">
        <f>VLOOKUP(A90,'[11]HDD CDD Summary'!$R:$T,2,FALSE)</f>
        <v>362.2999999999999</v>
      </c>
      <c r="F90" s="53">
        <f>VLOOKUP(A90,'[11]HDD CDD Summary'!$R:$T,3,FALSE)</f>
        <v>0</v>
      </c>
      <c r="G90" s="53">
        <f>+Inputs!G90</f>
        <v>30</v>
      </c>
      <c r="H90" s="105">
        <f t="shared" si="15"/>
        <v>1</v>
      </c>
      <c r="I90" s="53">
        <f>+Inputs!I90</f>
        <v>336</v>
      </c>
      <c r="J90" s="258">
        <v>1</v>
      </c>
      <c r="K90" s="257">
        <v>0</v>
      </c>
      <c r="L90" s="53">
        <v>1</v>
      </c>
      <c r="M90" s="53">
        <f>+Inputs!M90</f>
        <v>88</v>
      </c>
      <c r="N90" s="53">
        <f t="shared" si="14"/>
        <v>18977422.569999978</v>
      </c>
      <c r="O90" s="37">
        <f t="shared" si="9"/>
        <v>0</v>
      </c>
      <c r="P90" s="45">
        <f t="shared" si="10"/>
        <v>0</v>
      </c>
      <c r="Q90" s="12">
        <f t="shared" si="11"/>
        <v>0</v>
      </c>
      <c r="R90"/>
    </row>
    <row r="91" spans="1:27" x14ac:dyDescent="0.2">
      <c r="A91" s="3" t="str">
        <f t="shared" si="12"/>
        <v>20205</v>
      </c>
      <c r="B91" s="49">
        <f t="shared" si="13"/>
        <v>2020</v>
      </c>
      <c r="C91" s="52">
        <v>43982</v>
      </c>
      <c r="D91" s="53">
        <f>+Inputs!D91</f>
        <v>19969257.329999998</v>
      </c>
      <c r="E91" s="53">
        <f>VLOOKUP(A91,'[11]HDD CDD Summary'!$R:$T,2,FALSE)</f>
        <v>208.09999999999997</v>
      </c>
      <c r="F91" s="53">
        <f>VLOOKUP(A91,'[11]HDD CDD Summary'!$R:$T,3,FALSE)</f>
        <v>24.2</v>
      </c>
      <c r="G91" s="53">
        <f>+Inputs!G91</f>
        <v>31</v>
      </c>
      <c r="H91" s="105">
        <f t="shared" si="15"/>
        <v>1</v>
      </c>
      <c r="I91" s="53">
        <f>+Inputs!I91</f>
        <v>320</v>
      </c>
      <c r="J91" s="258">
        <v>1</v>
      </c>
      <c r="K91" s="257">
        <v>0</v>
      </c>
      <c r="L91" s="53">
        <v>0</v>
      </c>
      <c r="M91" s="53">
        <f>+Inputs!M91</f>
        <v>89</v>
      </c>
      <c r="N91" s="53">
        <f t="shared" si="14"/>
        <v>21151509.246047605</v>
      </c>
      <c r="O91" s="37">
        <f t="shared" si="9"/>
        <v>1182251.9160476066</v>
      </c>
      <c r="P91" s="45">
        <f t="shared" si="10"/>
        <v>5.9203599638705577E-2</v>
      </c>
      <c r="Q91" s="12">
        <f t="shared" si="11"/>
        <v>5.9203599638705577E-2</v>
      </c>
      <c r="R91"/>
    </row>
    <row r="92" spans="1:27" x14ac:dyDescent="0.2">
      <c r="A92" s="3" t="str">
        <f t="shared" si="12"/>
        <v>20206</v>
      </c>
      <c r="B92" s="49">
        <f t="shared" si="13"/>
        <v>2020</v>
      </c>
      <c r="C92" s="52">
        <v>44012</v>
      </c>
      <c r="D92" s="53">
        <f>+Inputs!D92</f>
        <v>21668186.52</v>
      </c>
      <c r="E92" s="53">
        <f>VLOOKUP(A92,'[11]HDD CDD Summary'!$R:$T,2,FALSE)</f>
        <v>23.799999999999997</v>
      </c>
      <c r="F92" s="53">
        <f>VLOOKUP(A92,'[11]HDD CDD Summary'!$R:$T,3,FALSE)</f>
        <v>97.700000000000017</v>
      </c>
      <c r="G92" s="53">
        <f>+Inputs!G92</f>
        <v>30</v>
      </c>
      <c r="H92" s="105">
        <f t="shared" si="15"/>
        <v>0.66666666666666663</v>
      </c>
      <c r="I92" s="53">
        <f>+Inputs!I92</f>
        <v>352</v>
      </c>
      <c r="J92" s="258">
        <v>1</v>
      </c>
      <c r="K92" s="257">
        <v>0</v>
      </c>
      <c r="L92" s="53">
        <f>+Inputs!J92</f>
        <v>0</v>
      </c>
      <c r="M92" s="53">
        <f>+Inputs!M92</f>
        <v>90</v>
      </c>
      <c r="N92" s="53">
        <f t="shared" si="14"/>
        <v>22005951.368317854</v>
      </c>
      <c r="O92" s="37">
        <f t="shared" si="9"/>
        <v>337764.84831785411</v>
      </c>
      <c r="P92" s="45">
        <f t="shared" si="10"/>
        <v>1.5588053389059258E-2</v>
      </c>
      <c r="Q92" s="12">
        <f t="shared" si="11"/>
        <v>1.5588053389059258E-2</v>
      </c>
      <c r="R92"/>
    </row>
    <row r="93" spans="1:27" x14ac:dyDescent="0.2">
      <c r="A93" s="3" t="str">
        <f t="shared" si="12"/>
        <v>20207</v>
      </c>
      <c r="B93" s="49">
        <f t="shared" si="13"/>
        <v>2020</v>
      </c>
      <c r="C93" s="52">
        <v>44043</v>
      </c>
      <c r="D93" s="53">
        <f>+Inputs!D93</f>
        <v>25628770.52</v>
      </c>
      <c r="E93" s="53">
        <f>VLOOKUP(A93,'[11]HDD CDD Summary'!$R:$T,2,FALSE)</f>
        <v>0</v>
      </c>
      <c r="F93" s="53">
        <f>VLOOKUP(A93,'[11]HDD CDD Summary'!$R:$T,3,FALSE)</f>
        <v>215.7</v>
      </c>
      <c r="G93" s="53">
        <f>+Inputs!G93</f>
        <v>31</v>
      </c>
      <c r="H93" s="105">
        <f t="shared" si="15"/>
        <v>0</v>
      </c>
      <c r="I93" s="53">
        <f>+Inputs!I93</f>
        <v>352</v>
      </c>
      <c r="J93" s="258">
        <v>1</v>
      </c>
      <c r="K93" s="257">
        <v>0</v>
      </c>
      <c r="L93" s="53">
        <f>+Inputs!J93</f>
        <v>0</v>
      </c>
      <c r="M93" s="53">
        <f>+Inputs!M93</f>
        <v>91</v>
      </c>
      <c r="N93" s="53">
        <f t="shared" si="14"/>
        <v>25533745.657192472</v>
      </c>
      <c r="O93" s="37">
        <f t="shared" si="9"/>
        <v>-95024.862807527184</v>
      </c>
      <c r="P93" s="45">
        <f t="shared" si="10"/>
        <v>-3.7077417636313201E-3</v>
      </c>
      <c r="Q93" s="12">
        <f t="shared" si="11"/>
        <v>3.7077417636313201E-3</v>
      </c>
      <c r="R93"/>
    </row>
    <row r="94" spans="1:27" x14ac:dyDescent="0.2">
      <c r="A94" s="3" t="str">
        <f t="shared" si="12"/>
        <v>20208</v>
      </c>
      <c r="B94" s="49">
        <f t="shared" si="13"/>
        <v>2020</v>
      </c>
      <c r="C94" s="52">
        <v>44074</v>
      </c>
      <c r="D94" s="53">
        <f>+Inputs!D94</f>
        <v>23467038.809999999</v>
      </c>
      <c r="E94" s="53">
        <f>VLOOKUP(A94,'[11]HDD CDD Summary'!$R:$T,2,FALSE)</f>
        <v>0.8</v>
      </c>
      <c r="F94" s="53">
        <f>VLOOKUP(A94,'[11]HDD CDD Summary'!$R:$T,3,FALSE)</f>
        <v>126.69999999999999</v>
      </c>
      <c r="G94" s="53">
        <f>+Inputs!G94</f>
        <v>31</v>
      </c>
      <c r="H94" s="105">
        <f t="shared" si="15"/>
        <v>0</v>
      </c>
      <c r="I94" s="53">
        <f>+Inputs!I94</f>
        <v>336</v>
      </c>
      <c r="J94" s="258">
        <v>1</v>
      </c>
      <c r="K94" s="257">
        <v>0</v>
      </c>
      <c r="L94" s="53">
        <f>+Inputs!J94</f>
        <v>0</v>
      </c>
      <c r="M94" s="53">
        <f>+Inputs!M94</f>
        <v>92</v>
      </c>
      <c r="N94" s="53">
        <f t="shared" si="14"/>
        <v>23206499.392603714</v>
      </c>
      <c r="O94" s="37">
        <f t="shared" si="9"/>
        <v>-260539.41739628464</v>
      </c>
      <c r="P94" s="45">
        <f t="shared" si="10"/>
        <v>-1.1102355925932211E-2</v>
      </c>
      <c r="Q94" s="12">
        <f t="shared" si="11"/>
        <v>1.1102355925932211E-2</v>
      </c>
      <c r="R94"/>
    </row>
    <row r="95" spans="1:27" x14ac:dyDescent="0.2">
      <c r="A95" s="3" t="str">
        <f t="shared" si="12"/>
        <v>20209</v>
      </c>
      <c r="B95" s="49">
        <f t="shared" si="13"/>
        <v>2020</v>
      </c>
      <c r="C95" s="52">
        <v>44104</v>
      </c>
      <c r="D95" s="53">
        <f>+Inputs!D95</f>
        <v>20269648.150000002</v>
      </c>
      <c r="E95" s="53">
        <f>VLOOKUP(A95,'[11]HDD CDD Summary'!$R:$T,2,FALSE)</f>
        <v>69.100000000000009</v>
      </c>
      <c r="F95" s="53">
        <f>VLOOKUP(A95,'[11]HDD CDD Summary'!$R:$T,3,FALSE)</f>
        <v>33.300000000000004</v>
      </c>
      <c r="G95" s="53">
        <f>+Inputs!G95</f>
        <v>30</v>
      </c>
      <c r="H95" s="105">
        <f t="shared" si="15"/>
        <v>0.33333333333333331</v>
      </c>
      <c r="I95" s="53">
        <f>+Inputs!I95</f>
        <v>336</v>
      </c>
      <c r="J95" s="258">
        <v>1</v>
      </c>
      <c r="K95" s="257">
        <v>0</v>
      </c>
      <c r="L95" s="53">
        <f>+Inputs!J95</f>
        <v>0</v>
      </c>
      <c r="M95" s="53">
        <f>+Inputs!M95</f>
        <v>93</v>
      </c>
      <c r="N95" s="53">
        <f t="shared" si="14"/>
        <v>20741126.752725985</v>
      </c>
      <c r="O95" s="37">
        <f t="shared" si="9"/>
        <v>471478.60272598267</v>
      </c>
      <c r="P95" s="45">
        <f t="shared" si="10"/>
        <v>2.3260324956651139E-2</v>
      </c>
      <c r="Q95" s="12">
        <f t="shared" si="11"/>
        <v>2.3260324956651139E-2</v>
      </c>
      <c r="R95"/>
    </row>
    <row r="96" spans="1:27" x14ac:dyDescent="0.2">
      <c r="A96" s="3" t="str">
        <f t="shared" si="12"/>
        <v>202010</v>
      </c>
      <c r="B96" s="49">
        <f t="shared" si="13"/>
        <v>2020</v>
      </c>
      <c r="C96" s="52">
        <v>44135</v>
      </c>
      <c r="D96" s="53">
        <f>+Inputs!D96</f>
        <v>21294106.91</v>
      </c>
      <c r="E96" s="53">
        <f>VLOOKUP(A96,'[11]HDD CDD Summary'!$R:$T,2,FALSE)</f>
        <v>270.3</v>
      </c>
      <c r="F96" s="53">
        <f>VLOOKUP(A96,'[11]HDD CDD Summary'!$R:$T,3,FALSE)</f>
        <v>0</v>
      </c>
      <c r="G96" s="53">
        <f>+Inputs!G96</f>
        <v>31</v>
      </c>
      <c r="H96" s="105">
        <f t="shared" si="15"/>
        <v>1</v>
      </c>
      <c r="I96" s="53">
        <f>+Inputs!I96</f>
        <v>336</v>
      </c>
      <c r="J96" s="258">
        <v>1</v>
      </c>
      <c r="K96" s="257">
        <v>0</v>
      </c>
      <c r="L96" s="53">
        <f>+Inputs!J96</f>
        <v>0</v>
      </c>
      <c r="M96" s="53">
        <f>+Inputs!M96</f>
        <v>94</v>
      </c>
      <c r="N96" s="53">
        <f t="shared" si="14"/>
        <v>21170145.025582563</v>
      </c>
      <c r="O96" s="37">
        <f t="shared" si="9"/>
        <v>-123961.88441743702</v>
      </c>
      <c r="P96" s="45">
        <f t="shared" si="10"/>
        <v>-5.8214173969053781E-3</v>
      </c>
      <c r="Q96" s="12">
        <f t="shared" si="11"/>
        <v>5.8214173969053781E-3</v>
      </c>
      <c r="R96"/>
    </row>
    <row r="97" spans="1:18" x14ac:dyDescent="0.2">
      <c r="A97" s="3" t="str">
        <f t="shared" si="12"/>
        <v>202011</v>
      </c>
      <c r="B97" s="49">
        <f t="shared" si="13"/>
        <v>2020</v>
      </c>
      <c r="C97" s="52">
        <v>44165</v>
      </c>
      <c r="D97" s="53">
        <f>+Inputs!D97</f>
        <v>21744994.359999999</v>
      </c>
      <c r="E97" s="53">
        <f>VLOOKUP(A97,'[11]HDD CDD Summary'!$R:$T,2,FALSE)</f>
        <v>334.79999999999995</v>
      </c>
      <c r="F97" s="53">
        <f>VLOOKUP(A97,'[11]HDD CDD Summary'!$R:$T,3,FALSE)</f>
        <v>0</v>
      </c>
      <c r="G97" s="53">
        <f>+Inputs!G97</f>
        <v>30</v>
      </c>
      <c r="H97" s="105">
        <f t="shared" si="15"/>
        <v>1</v>
      </c>
      <c r="I97" s="53">
        <f>+Inputs!I97</f>
        <v>336</v>
      </c>
      <c r="J97" s="258">
        <v>1</v>
      </c>
      <c r="K97" s="257">
        <v>0</v>
      </c>
      <c r="L97" s="53">
        <f>+Inputs!J97</f>
        <v>0</v>
      </c>
      <c r="M97" s="53">
        <f>+Inputs!M97</f>
        <v>95</v>
      </c>
      <c r="N97" s="53">
        <f t="shared" si="14"/>
        <v>21135388.16496025</v>
      </c>
      <c r="O97" s="37">
        <f t="shared" si="9"/>
        <v>-609606.19503974915</v>
      </c>
      <c r="P97" s="45">
        <f t="shared" si="10"/>
        <v>-2.8034322977849194E-2</v>
      </c>
      <c r="Q97" s="12">
        <f t="shared" si="11"/>
        <v>2.8034322977849194E-2</v>
      </c>
      <c r="R97"/>
    </row>
    <row r="98" spans="1:18" x14ac:dyDescent="0.2">
      <c r="A98" s="3" t="str">
        <f t="shared" si="12"/>
        <v>202012</v>
      </c>
      <c r="B98" s="49">
        <f t="shared" si="13"/>
        <v>2020</v>
      </c>
      <c r="C98" s="52">
        <v>44196</v>
      </c>
      <c r="D98" s="53">
        <f>+Inputs!D98</f>
        <v>23632657.099999998</v>
      </c>
      <c r="E98" s="53">
        <f>VLOOKUP(A98,'[11]HDD CDD Summary'!$R:$T,2,FALSE)</f>
        <v>567.29999999999995</v>
      </c>
      <c r="F98" s="53">
        <f>VLOOKUP(A98,'[11]HDD CDD Summary'!$R:$T,3,FALSE)</f>
        <v>0</v>
      </c>
      <c r="G98" s="53">
        <f>+Inputs!G98</f>
        <v>31</v>
      </c>
      <c r="H98" s="105">
        <f t="shared" si="15"/>
        <v>0.66666666666666663</v>
      </c>
      <c r="I98" s="53">
        <f>+Inputs!I98</f>
        <v>336</v>
      </c>
      <c r="J98" s="258">
        <v>1</v>
      </c>
      <c r="K98" s="257">
        <v>0</v>
      </c>
      <c r="L98" s="53">
        <f>+Inputs!J98</f>
        <v>0</v>
      </c>
      <c r="M98" s="53">
        <f>+Inputs!M98</f>
        <v>96</v>
      </c>
      <c r="N98" s="53">
        <f t="shared" si="14"/>
        <v>23091995.925470963</v>
      </c>
      <c r="O98" s="37">
        <f t="shared" si="9"/>
        <v>-540661.17452903464</v>
      </c>
      <c r="P98" s="45">
        <f t="shared" si="10"/>
        <v>-2.2877714183439604E-2</v>
      </c>
      <c r="Q98" s="12">
        <f t="shared" si="11"/>
        <v>2.2877714183439604E-2</v>
      </c>
      <c r="R98"/>
    </row>
    <row r="99" spans="1:18" x14ac:dyDescent="0.2">
      <c r="A99" s="3" t="str">
        <f t="shared" si="12"/>
        <v>20211</v>
      </c>
      <c r="B99" s="49">
        <f t="shared" si="13"/>
        <v>2021</v>
      </c>
      <c r="C99" s="52">
        <v>44227</v>
      </c>
      <c r="D99" s="53">
        <f>+Inputs!D99</f>
        <v>23541928.949999999</v>
      </c>
      <c r="E99" s="53">
        <f>VLOOKUP(A99,'[11]HDD CDD Summary'!$R:$T,2,FALSE)</f>
        <v>642.64999999999986</v>
      </c>
      <c r="F99" s="53">
        <f>VLOOKUP(A99,'[11]HDD CDD Summary'!$R:$T,3,FALSE)</f>
        <v>0</v>
      </c>
      <c r="G99" s="53">
        <f>+Inputs!G99</f>
        <v>31</v>
      </c>
      <c r="H99" s="105">
        <f t="shared" si="15"/>
        <v>0</v>
      </c>
      <c r="I99" s="53">
        <f>+Inputs!I99</f>
        <v>320</v>
      </c>
      <c r="J99" s="258">
        <v>1</v>
      </c>
      <c r="K99" s="257">
        <v>0</v>
      </c>
      <c r="L99" s="53">
        <f>+Inputs!J99</f>
        <v>0</v>
      </c>
      <c r="M99" s="53">
        <f>+Inputs!M99</f>
        <v>97</v>
      </c>
      <c r="N99" s="53">
        <f t="shared" si="14"/>
        <v>23719464.464054655</v>
      </c>
      <c r="O99" s="37">
        <f t="shared" ref="O99:O122" si="16">N99-D99</f>
        <v>177535.51405465603</v>
      </c>
      <c r="P99" s="45">
        <f t="shared" ref="P99:P122" si="17">O99/D99</f>
        <v>7.5412475516224015E-3</v>
      </c>
      <c r="Q99" s="12">
        <f t="shared" si="11"/>
        <v>7.5412475516224015E-3</v>
      </c>
      <c r="R99"/>
    </row>
    <row r="100" spans="1:18" x14ac:dyDescent="0.2">
      <c r="A100" s="3" t="str">
        <f t="shared" si="12"/>
        <v>20212</v>
      </c>
      <c r="B100" s="49">
        <f t="shared" si="13"/>
        <v>2021</v>
      </c>
      <c r="C100" s="52">
        <v>44255</v>
      </c>
      <c r="D100" s="53">
        <f>+Inputs!D100</f>
        <v>22305481.220000003</v>
      </c>
      <c r="E100" s="53">
        <f>VLOOKUP(A100,'[11]HDD CDD Summary'!$R:$T,2,FALSE)</f>
        <v>653</v>
      </c>
      <c r="F100" s="53">
        <f>VLOOKUP(A100,'[11]HDD CDD Summary'!$R:$T,3,FALSE)</f>
        <v>0</v>
      </c>
      <c r="G100" s="53">
        <f>+Inputs!G100</f>
        <v>28</v>
      </c>
      <c r="H100" s="105">
        <f t="shared" si="15"/>
        <v>0</v>
      </c>
      <c r="I100" s="53">
        <f>+Inputs!I100</f>
        <v>304</v>
      </c>
      <c r="J100" s="258">
        <v>1</v>
      </c>
      <c r="K100" s="257">
        <v>0</v>
      </c>
      <c r="L100" s="53">
        <f>+Inputs!J100</f>
        <v>0</v>
      </c>
      <c r="M100" s="53">
        <f>+Inputs!M100</f>
        <v>98</v>
      </c>
      <c r="N100" s="53">
        <f t="shared" si="14"/>
        <v>22350560.998526581</v>
      </c>
      <c r="O100" s="37">
        <f t="shared" si="16"/>
        <v>45079.778526578099</v>
      </c>
      <c r="P100" s="45">
        <f t="shared" si="17"/>
        <v>2.0210179767902849E-3</v>
      </c>
      <c r="Q100" s="12">
        <f t="shared" si="11"/>
        <v>2.0210179767902849E-3</v>
      </c>
      <c r="R100"/>
    </row>
    <row r="101" spans="1:18" x14ac:dyDescent="0.2">
      <c r="A101" s="3" t="str">
        <f t="shared" si="12"/>
        <v>20213</v>
      </c>
      <c r="B101" s="49">
        <f t="shared" si="13"/>
        <v>2021</v>
      </c>
      <c r="C101" s="52">
        <v>44286</v>
      </c>
      <c r="D101" s="53">
        <f>+Inputs!D101</f>
        <v>23069807.16</v>
      </c>
      <c r="E101" s="53">
        <f>VLOOKUP(A101,'[11]HDD CDD Summary'!$R:$T,2,FALSE)</f>
        <v>460.70000000000005</v>
      </c>
      <c r="F101" s="53">
        <f>VLOOKUP(A101,'[11]HDD CDD Summary'!$R:$T,3,FALSE)</f>
        <v>0</v>
      </c>
      <c r="G101" s="53">
        <f>+Inputs!G101</f>
        <v>31</v>
      </c>
      <c r="H101" s="105">
        <f t="shared" si="15"/>
        <v>0.33333333333333331</v>
      </c>
      <c r="I101" s="53">
        <f>+Inputs!I101</f>
        <v>368</v>
      </c>
      <c r="J101" s="258">
        <v>1</v>
      </c>
      <c r="K101" s="257">
        <v>0</v>
      </c>
      <c r="L101" s="53">
        <f>+Inputs!J101</f>
        <v>0</v>
      </c>
      <c r="M101" s="53">
        <f>+Inputs!M101</f>
        <v>99</v>
      </c>
      <c r="N101" s="53">
        <f t="shared" si="14"/>
        <v>23054805.804150086</v>
      </c>
      <c r="O101" s="37">
        <f t="shared" si="16"/>
        <v>-15001.355849914253</v>
      </c>
      <c r="P101" s="45">
        <f t="shared" si="17"/>
        <v>-6.5025926510233791E-4</v>
      </c>
      <c r="Q101" s="12">
        <f t="shared" si="11"/>
        <v>6.5025926510233791E-4</v>
      </c>
      <c r="R101"/>
    </row>
    <row r="102" spans="1:18" x14ac:dyDescent="0.2">
      <c r="A102" s="3" t="str">
        <f t="shared" si="12"/>
        <v>20214</v>
      </c>
      <c r="B102" s="49">
        <f t="shared" si="13"/>
        <v>2021</v>
      </c>
      <c r="C102" s="52">
        <v>44316</v>
      </c>
      <c r="D102" s="53">
        <f>+Inputs!D102</f>
        <v>20252923.879999999</v>
      </c>
      <c r="E102" s="53">
        <f>VLOOKUP(A102,'[11]HDD CDD Summary'!$R:$T,2,FALSE)</f>
        <v>302.39999999999998</v>
      </c>
      <c r="F102" s="53">
        <f>VLOOKUP(A102,'[11]HDD CDD Summary'!$R:$T,3,FALSE)</f>
        <v>0</v>
      </c>
      <c r="G102" s="53">
        <f>+Inputs!G102</f>
        <v>30</v>
      </c>
      <c r="H102" s="105">
        <f t="shared" si="15"/>
        <v>1</v>
      </c>
      <c r="I102" s="53">
        <f>+Inputs!I102</f>
        <v>336</v>
      </c>
      <c r="J102" s="258">
        <v>1</v>
      </c>
      <c r="K102" s="257">
        <v>0</v>
      </c>
      <c r="L102" s="53">
        <v>0</v>
      </c>
      <c r="M102" s="53">
        <f>+Inputs!M102</f>
        <v>100</v>
      </c>
      <c r="N102" s="53">
        <f t="shared" si="14"/>
        <v>21017782.787549905</v>
      </c>
      <c r="O102" s="37">
        <f t="shared" si="16"/>
        <v>764858.90754990652</v>
      </c>
      <c r="P102" s="45">
        <f t="shared" si="17"/>
        <v>3.7765357342068206E-2</v>
      </c>
      <c r="Q102" s="12">
        <f t="shared" si="11"/>
        <v>3.7765357342068206E-2</v>
      </c>
      <c r="R102"/>
    </row>
    <row r="103" spans="1:18" x14ac:dyDescent="0.2">
      <c r="A103" s="3" t="str">
        <f t="shared" si="12"/>
        <v>20215</v>
      </c>
      <c r="B103" s="49">
        <f t="shared" si="13"/>
        <v>2021</v>
      </c>
      <c r="C103" s="52">
        <v>44347</v>
      </c>
      <c r="D103" s="53">
        <f>+Inputs!D103</f>
        <v>20759754.799999997</v>
      </c>
      <c r="E103" s="53">
        <f>VLOOKUP(A103,'[11]HDD CDD Summary'!$R:$T,2,FALSE)</f>
        <v>164.2</v>
      </c>
      <c r="F103" s="53">
        <f>VLOOKUP(A103,'[11]HDD CDD Summary'!$R:$T,3,FALSE)</f>
        <v>27.9</v>
      </c>
      <c r="G103" s="53">
        <f>+Inputs!G103</f>
        <v>31</v>
      </c>
      <c r="H103" s="105">
        <f t="shared" si="15"/>
        <v>1</v>
      </c>
      <c r="I103" s="53">
        <f>+Inputs!I103</f>
        <v>320</v>
      </c>
      <c r="J103" s="258">
        <v>1</v>
      </c>
      <c r="K103" s="257">
        <v>0</v>
      </c>
      <c r="L103" s="53">
        <f>+Inputs!J103</f>
        <v>0</v>
      </c>
      <c r="M103" s="53">
        <f>+Inputs!M103</f>
        <v>101</v>
      </c>
      <c r="N103" s="53">
        <f t="shared" si="14"/>
        <v>21154894.247364931</v>
      </c>
      <c r="O103" s="37">
        <f t="shared" si="16"/>
        <v>395139.44736493379</v>
      </c>
      <c r="P103" s="45">
        <f t="shared" si="17"/>
        <v>1.9033916882531476E-2</v>
      </c>
      <c r="Q103" s="12">
        <f t="shared" si="11"/>
        <v>1.9033916882531476E-2</v>
      </c>
      <c r="R103"/>
    </row>
    <row r="104" spans="1:18" x14ac:dyDescent="0.2">
      <c r="A104" s="3" t="str">
        <f t="shared" si="12"/>
        <v>20216</v>
      </c>
      <c r="B104" s="49">
        <f t="shared" si="13"/>
        <v>2021</v>
      </c>
      <c r="C104" s="52">
        <v>44377</v>
      </c>
      <c r="D104" s="53">
        <f>+Inputs!D104</f>
        <v>22743690.300000001</v>
      </c>
      <c r="E104" s="53">
        <f>VLOOKUP(A104,'[11]HDD CDD Summary'!$R:$T,2,FALSE)</f>
        <v>7.0000000000000009</v>
      </c>
      <c r="F104" s="53">
        <f>VLOOKUP(A104,'[11]HDD CDD Summary'!$R:$T,3,FALSE)</f>
        <v>121.99999999999999</v>
      </c>
      <c r="G104" s="53">
        <f>+Inputs!G104</f>
        <v>30</v>
      </c>
      <c r="H104" s="105">
        <f t="shared" si="15"/>
        <v>0.66666666666666663</v>
      </c>
      <c r="I104" s="53">
        <f>+Inputs!I104</f>
        <v>352</v>
      </c>
      <c r="J104" s="258">
        <v>1</v>
      </c>
      <c r="K104" s="257">
        <v>0</v>
      </c>
      <c r="L104" s="53">
        <f>+Inputs!J104</f>
        <v>0</v>
      </c>
      <c r="M104" s="53">
        <f>+Inputs!M104</f>
        <v>102</v>
      </c>
      <c r="N104" s="53">
        <f t="shared" si="14"/>
        <v>22667368.460156959</v>
      </c>
      <c r="O104" s="37">
        <f t="shared" si="16"/>
        <v>-76321.839843042195</v>
      </c>
      <c r="P104" s="45">
        <f t="shared" si="17"/>
        <v>-3.3557368587208642E-3</v>
      </c>
      <c r="Q104" s="12">
        <f t="shared" si="11"/>
        <v>3.3557368587208642E-3</v>
      </c>
      <c r="R104"/>
    </row>
    <row r="105" spans="1:18" x14ac:dyDescent="0.2">
      <c r="A105" s="3" t="str">
        <f t="shared" si="12"/>
        <v>20217</v>
      </c>
      <c r="B105" s="49">
        <f t="shared" si="13"/>
        <v>2021</v>
      </c>
      <c r="C105" s="52">
        <v>44408</v>
      </c>
      <c r="D105" s="53">
        <f>+Inputs!D105</f>
        <v>23381044.989999998</v>
      </c>
      <c r="E105" s="53">
        <f>VLOOKUP(A105,'[11]HDD CDD Summary'!$R:$T,2,FALSE)</f>
        <v>4.4000000000000004</v>
      </c>
      <c r="F105" s="53">
        <f>VLOOKUP(A105,'[11]HDD CDD Summary'!$R:$T,3,FALSE)</f>
        <v>105.75000000000001</v>
      </c>
      <c r="G105" s="53">
        <f>+Inputs!G105</f>
        <v>31</v>
      </c>
      <c r="H105" s="105">
        <f t="shared" si="15"/>
        <v>0</v>
      </c>
      <c r="I105" s="53">
        <f>+Inputs!I105</f>
        <v>336</v>
      </c>
      <c r="J105" s="258">
        <v>1</v>
      </c>
      <c r="K105" s="257">
        <v>0</v>
      </c>
      <c r="L105" s="53">
        <f>+Inputs!J105</f>
        <v>0</v>
      </c>
      <c r="M105" s="53">
        <f>+Inputs!M105</f>
        <v>103</v>
      </c>
      <c r="N105" s="53">
        <f t="shared" si="14"/>
        <v>22870204.839914232</v>
      </c>
      <c r="O105" s="37">
        <f t="shared" si="16"/>
        <v>-510840.15008576587</v>
      </c>
      <c r="P105" s="45">
        <f t="shared" si="17"/>
        <v>-2.184847385154302E-2</v>
      </c>
      <c r="Q105" s="12">
        <f t="shared" si="11"/>
        <v>2.184847385154302E-2</v>
      </c>
      <c r="R105"/>
    </row>
    <row r="106" spans="1:18" x14ac:dyDescent="0.2">
      <c r="A106" s="3" t="str">
        <f t="shared" si="12"/>
        <v>20218</v>
      </c>
      <c r="B106" s="49">
        <f t="shared" si="13"/>
        <v>2021</v>
      </c>
      <c r="C106" s="52">
        <v>44439</v>
      </c>
      <c r="D106" s="53">
        <f>+Inputs!D106</f>
        <v>25116099.290000003</v>
      </c>
      <c r="E106" s="53">
        <f>VLOOKUP(A106,'[11]HDD CDD Summary'!$R:$T,2,FALSE)</f>
        <v>0.85</v>
      </c>
      <c r="F106" s="53">
        <f>VLOOKUP(A106,'[11]HDD CDD Summary'!$R:$T,3,FALSE)</f>
        <v>179</v>
      </c>
      <c r="G106" s="53">
        <f>+Inputs!G106</f>
        <v>31</v>
      </c>
      <c r="H106" s="105">
        <f t="shared" si="15"/>
        <v>0</v>
      </c>
      <c r="I106" s="53">
        <f>+Inputs!I106</f>
        <v>352</v>
      </c>
      <c r="J106" s="258">
        <v>1</v>
      </c>
      <c r="K106" s="257">
        <v>0</v>
      </c>
      <c r="L106" s="53">
        <f>+Inputs!J106</f>
        <v>0</v>
      </c>
      <c r="M106" s="53">
        <f>+Inputs!M106</f>
        <v>104</v>
      </c>
      <c r="N106" s="53">
        <f t="shared" si="14"/>
        <v>24825937.590230584</v>
      </c>
      <c r="O106" s="37">
        <f t="shared" si="16"/>
        <v>-290161.69976941869</v>
      </c>
      <c r="P106" s="45">
        <f t="shared" si="17"/>
        <v>-1.1552817036558969E-2</v>
      </c>
      <c r="Q106" s="12">
        <f t="shared" si="11"/>
        <v>1.1552817036558969E-2</v>
      </c>
      <c r="R106"/>
    </row>
    <row r="107" spans="1:18" x14ac:dyDescent="0.2">
      <c r="A107" s="3" t="str">
        <f t="shared" si="12"/>
        <v>20219</v>
      </c>
      <c r="B107" s="49">
        <f t="shared" si="13"/>
        <v>2021</v>
      </c>
      <c r="C107" s="52">
        <v>44469</v>
      </c>
      <c r="D107" s="53">
        <f>+Inputs!D107</f>
        <v>20640267.599999998</v>
      </c>
      <c r="E107" s="53">
        <f>VLOOKUP(A107,'[11]HDD CDD Summary'!$R:$T,2,FALSE)</f>
        <v>35.6</v>
      </c>
      <c r="F107" s="53">
        <f>VLOOKUP(A107,'[11]HDD CDD Summary'!$R:$T,3,FALSE)</f>
        <v>24.900000000000002</v>
      </c>
      <c r="G107" s="53">
        <f>+Inputs!G107</f>
        <v>30</v>
      </c>
      <c r="H107" s="105">
        <f t="shared" si="15"/>
        <v>0.33333333333333331</v>
      </c>
      <c r="I107" s="53">
        <f>+Inputs!I107</f>
        <v>336</v>
      </c>
      <c r="J107" s="258">
        <v>1</v>
      </c>
      <c r="K107" s="257">
        <v>0</v>
      </c>
      <c r="L107" s="53">
        <f>+Inputs!J107</f>
        <v>0</v>
      </c>
      <c r="M107" s="53">
        <f>+Inputs!M107</f>
        <v>105</v>
      </c>
      <c r="N107" s="53">
        <f t="shared" si="14"/>
        <v>20509998.372309215</v>
      </c>
      <c r="O107" s="37">
        <f t="shared" si="16"/>
        <v>-130269.2276907824</v>
      </c>
      <c r="P107" s="45">
        <f t="shared" si="17"/>
        <v>-6.3114117614823176E-3</v>
      </c>
      <c r="Q107" s="12">
        <f t="shared" si="11"/>
        <v>6.3114117614823176E-3</v>
      </c>
      <c r="R107"/>
    </row>
    <row r="108" spans="1:18" x14ac:dyDescent="0.2">
      <c r="A108" s="3" t="str">
        <f t="shared" si="12"/>
        <v>202110</v>
      </c>
      <c r="B108" s="49">
        <f t="shared" si="13"/>
        <v>2021</v>
      </c>
      <c r="C108" s="52">
        <v>44500</v>
      </c>
      <c r="D108" s="53">
        <f>+Inputs!D108</f>
        <v>21195541.040000003</v>
      </c>
      <c r="E108" s="53">
        <f>VLOOKUP(A108,'[11]HDD CDD Summary'!$R:$T,2,FALSE)</f>
        <v>145.19999999999999</v>
      </c>
      <c r="F108" s="53">
        <f>VLOOKUP(A108,'[11]HDD CDD Summary'!$R:$T,3,FALSE)</f>
        <v>5.6000000000000005</v>
      </c>
      <c r="G108" s="53">
        <f>+Inputs!G108</f>
        <v>31</v>
      </c>
      <c r="H108" s="105">
        <f t="shared" si="15"/>
        <v>1</v>
      </c>
      <c r="I108" s="53">
        <f>+Inputs!I108</f>
        <v>320</v>
      </c>
      <c r="J108" s="258">
        <v>1</v>
      </c>
      <c r="K108" s="257">
        <v>0</v>
      </c>
      <c r="L108" s="53">
        <f>+Inputs!J108</f>
        <v>0</v>
      </c>
      <c r="M108" s="53">
        <f>+Inputs!M108</f>
        <v>106</v>
      </c>
      <c r="N108" s="53">
        <f t="shared" si="14"/>
        <v>20571779.278229311</v>
      </c>
      <c r="O108" s="37">
        <f t="shared" si="16"/>
        <v>-623761.76177069172</v>
      </c>
      <c r="P108" s="45">
        <f t="shared" si="17"/>
        <v>-2.9428914345405718E-2</v>
      </c>
      <c r="Q108" s="12">
        <f t="shared" si="11"/>
        <v>2.9428914345405718E-2</v>
      </c>
      <c r="R108"/>
    </row>
    <row r="109" spans="1:18" x14ac:dyDescent="0.2">
      <c r="A109" s="3" t="str">
        <f t="shared" si="12"/>
        <v>202111</v>
      </c>
      <c r="B109" s="49">
        <f t="shared" si="13"/>
        <v>2021</v>
      </c>
      <c r="C109" s="52">
        <v>44530</v>
      </c>
      <c r="D109" s="53">
        <f>+Inputs!D109</f>
        <v>22402599.130000003</v>
      </c>
      <c r="E109" s="53">
        <f>VLOOKUP(A109,'[11]HDD CDD Summary'!$R:$T,2,FALSE)</f>
        <v>413.7</v>
      </c>
      <c r="F109" s="53">
        <f>VLOOKUP(A109,'[11]HDD CDD Summary'!$R:$T,3,FALSE)</f>
        <v>0</v>
      </c>
      <c r="G109" s="53">
        <f>+Inputs!G109</f>
        <v>30</v>
      </c>
      <c r="H109" s="105">
        <f t="shared" si="15"/>
        <v>1</v>
      </c>
      <c r="I109" s="53">
        <f>+Inputs!I109</f>
        <v>352</v>
      </c>
      <c r="J109" s="258">
        <v>1</v>
      </c>
      <c r="K109" s="257">
        <v>0</v>
      </c>
      <c r="L109" s="53">
        <f>+Inputs!J109</f>
        <v>0</v>
      </c>
      <c r="M109" s="53">
        <f>+Inputs!M109</f>
        <v>107</v>
      </c>
      <c r="N109" s="53">
        <f t="shared" si="14"/>
        <v>21936964.977345347</v>
      </c>
      <c r="O109" s="37">
        <f t="shared" si="16"/>
        <v>-465634.15265465528</v>
      </c>
      <c r="P109" s="45">
        <f t="shared" si="17"/>
        <v>-2.0784827240474538E-2</v>
      </c>
      <c r="Q109" s="12">
        <f t="shared" si="11"/>
        <v>2.0784827240474538E-2</v>
      </c>
      <c r="R109"/>
    </row>
    <row r="110" spans="1:18" x14ac:dyDescent="0.2">
      <c r="A110" s="3" t="str">
        <f t="shared" si="12"/>
        <v>202112</v>
      </c>
      <c r="B110" s="49">
        <f t="shared" si="13"/>
        <v>2021</v>
      </c>
      <c r="C110" s="52">
        <v>44561</v>
      </c>
      <c r="D110" s="53">
        <f>+Inputs!D110</f>
        <v>23318783.640000001</v>
      </c>
      <c r="E110" s="53">
        <f>VLOOKUP(A110,'[11]HDD CDD Summary'!$R:$T,2,FALSE)</f>
        <v>500.6</v>
      </c>
      <c r="F110" s="53">
        <f>VLOOKUP(A110,'[11]HDD CDD Summary'!$R:$T,3,FALSE)</f>
        <v>0</v>
      </c>
      <c r="G110" s="53">
        <f>+Inputs!G110</f>
        <v>31</v>
      </c>
      <c r="H110" s="105">
        <f t="shared" si="15"/>
        <v>0.66666666666666663</v>
      </c>
      <c r="I110" s="53">
        <f>+Inputs!I110</f>
        <v>336</v>
      </c>
      <c r="J110" s="258">
        <v>1</v>
      </c>
      <c r="K110" s="257">
        <v>0</v>
      </c>
      <c r="L110" s="53">
        <f>+Inputs!J110</f>
        <v>0</v>
      </c>
      <c r="M110" s="53">
        <f>+Inputs!M110</f>
        <v>108</v>
      </c>
      <c r="N110" s="53">
        <f t="shared" si="14"/>
        <v>22873620.565947127</v>
      </c>
      <c r="O110" s="37">
        <f t="shared" si="16"/>
        <v>-445163.074052874</v>
      </c>
      <c r="P110" s="45">
        <f t="shared" si="17"/>
        <v>-1.9090321387487001E-2</v>
      </c>
      <c r="Q110" s="12">
        <f t="shared" si="11"/>
        <v>1.9090321387487001E-2</v>
      </c>
      <c r="R110"/>
    </row>
    <row r="111" spans="1:18" x14ac:dyDescent="0.2">
      <c r="A111" s="3" t="str">
        <f t="shared" si="12"/>
        <v>20221</v>
      </c>
      <c r="B111" s="49">
        <f t="shared" si="13"/>
        <v>2022</v>
      </c>
      <c r="C111" s="52">
        <v>44592</v>
      </c>
      <c r="D111" s="53">
        <f>+Inputs!D111</f>
        <v>25489220.849999998</v>
      </c>
      <c r="E111" s="53">
        <f>VLOOKUP(A111,'[11]HDD CDD Summary'!$R:$T,2,FALSE)</f>
        <v>809.35</v>
      </c>
      <c r="F111" s="53">
        <f>VLOOKUP(A111,'[11]HDD CDD Summary'!$R:$T,3,FALSE)</f>
        <v>0</v>
      </c>
      <c r="G111" s="53">
        <f>+Inputs!G111</f>
        <v>31</v>
      </c>
      <c r="H111" s="105">
        <f t="shared" si="15"/>
        <v>0</v>
      </c>
      <c r="I111" s="53">
        <f>+Inputs!I111</f>
        <v>320</v>
      </c>
      <c r="J111" s="257">
        <v>0</v>
      </c>
      <c r="K111" s="258">
        <v>1</v>
      </c>
      <c r="L111" s="53">
        <f>+Inputs!J111</f>
        <v>0</v>
      </c>
      <c r="M111" s="53">
        <f>+Inputs!M111</f>
        <v>109</v>
      </c>
      <c r="N111" s="53">
        <f t="shared" si="14"/>
        <v>25293958.123179197</v>
      </c>
      <c r="O111" s="37">
        <f t="shared" si="16"/>
        <v>-195262.72682080045</v>
      </c>
      <c r="P111" s="45">
        <f t="shared" si="17"/>
        <v>-7.6606000618806855E-3</v>
      </c>
      <c r="Q111" s="12">
        <f t="shared" si="11"/>
        <v>7.6606000618806855E-3</v>
      </c>
      <c r="R111"/>
    </row>
    <row r="112" spans="1:18" x14ac:dyDescent="0.2">
      <c r="A112" s="3" t="str">
        <f t="shared" si="12"/>
        <v>20222</v>
      </c>
      <c r="B112" s="49">
        <f t="shared" si="13"/>
        <v>2022</v>
      </c>
      <c r="C112" s="52">
        <v>44620</v>
      </c>
      <c r="D112" s="53">
        <f>+Inputs!D112</f>
        <v>23005811.43</v>
      </c>
      <c r="E112" s="53">
        <f>VLOOKUP(A112,'[11]HDD CDD Summary'!$R:$T,2,FALSE)</f>
        <v>626.54999999999995</v>
      </c>
      <c r="F112" s="53">
        <f>VLOOKUP(A112,'[11]HDD CDD Summary'!$R:$T,3,FALSE)</f>
        <v>0</v>
      </c>
      <c r="G112" s="53">
        <f>+Inputs!G112</f>
        <v>28</v>
      </c>
      <c r="H112" s="105">
        <f t="shared" si="15"/>
        <v>0</v>
      </c>
      <c r="I112" s="53">
        <f>+Inputs!I112</f>
        <v>304</v>
      </c>
      <c r="J112" s="257">
        <v>0</v>
      </c>
      <c r="K112" s="258">
        <v>1</v>
      </c>
      <c r="L112" s="53">
        <f>+Inputs!J112</f>
        <v>0</v>
      </c>
      <c r="M112" s="53">
        <f>+Inputs!M112</f>
        <v>110</v>
      </c>
      <c r="N112" s="53">
        <f t="shared" si="14"/>
        <v>22809507.816754986</v>
      </c>
      <c r="O112" s="37">
        <f t="shared" si="16"/>
        <v>-196303.6132450141</v>
      </c>
      <c r="P112" s="45">
        <f t="shared" si="17"/>
        <v>-8.5327837204225102E-3</v>
      </c>
      <c r="Q112" s="12">
        <f t="shared" si="11"/>
        <v>8.5327837204225102E-3</v>
      </c>
      <c r="R112"/>
    </row>
    <row r="113" spans="1:18" x14ac:dyDescent="0.2">
      <c r="A113" s="3" t="str">
        <f t="shared" si="12"/>
        <v>20223</v>
      </c>
      <c r="B113" s="49">
        <f t="shared" si="13"/>
        <v>2022</v>
      </c>
      <c r="C113" s="52">
        <v>44651</v>
      </c>
      <c r="D113" s="53">
        <f>+Inputs!D113</f>
        <v>24103482.41</v>
      </c>
      <c r="E113" s="53">
        <f>VLOOKUP(A113,'[11]HDD CDD Summary'!$R:$T,2,FALSE)</f>
        <v>523.90000000000009</v>
      </c>
      <c r="F113" s="53">
        <f>VLOOKUP(A113,'[11]HDD CDD Summary'!$R:$T,3,FALSE)</f>
        <v>0</v>
      </c>
      <c r="G113" s="53">
        <f>+Inputs!G113</f>
        <v>31</v>
      </c>
      <c r="H113" s="105">
        <f t="shared" si="15"/>
        <v>0.33333333333333331</v>
      </c>
      <c r="I113" s="53">
        <f>+Inputs!I113</f>
        <v>368</v>
      </c>
      <c r="J113" s="257">
        <v>0</v>
      </c>
      <c r="K113" s="258">
        <v>1</v>
      </c>
      <c r="L113" s="53">
        <f>+Inputs!J113</f>
        <v>0</v>
      </c>
      <c r="M113" s="53">
        <f>+Inputs!M113</f>
        <v>111</v>
      </c>
      <c r="N113" s="53">
        <f t="shared" si="14"/>
        <v>24031530.382079959</v>
      </c>
      <c r="O113" s="37">
        <f t="shared" si="16"/>
        <v>-71952.027920041233</v>
      </c>
      <c r="P113" s="45">
        <f t="shared" si="17"/>
        <v>-2.9851299781557677E-3</v>
      </c>
      <c r="Q113" s="12">
        <f t="shared" si="11"/>
        <v>2.9851299781557677E-3</v>
      </c>
      <c r="R113"/>
    </row>
    <row r="114" spans="1:18" x14ac:dyDescent="0.2">
      <c r="A114" s="3" t="str">
        <f t="shared" si="12"/>
        <v>20224</v>
      </c>
      <c r="B114" s="49">
        <f t="shared" si="13"/>
        <v>2022</v>
      </c>
      <c r="C114" s="52">
        <v>44681</v>
      </c>
      <c r="D114" s="53">
        <f>+Inputs!D114</f>
        <v>21054165.982828289</v>
      </c>
      <c r="E114" s="53">
        <f>VLOOKUP(A114,'[11]HDD CDD Summary'!$R:$T,2,FALSE)</f>
        <v>339.94999999999993</v>
      </c>
      <c r="F114" s="53">
        <f>VLOOKUP(A114,'[11]HDD CDD Summary'!$R:$T,3,FALSE)</f>
        <v>0</v>
      </c>
      <c r="G114" s="53">
        <f>+Inputs!G114</f>
        <v>30</v>
      </c>
      <c r="H114" s="105">
        <f t="shared" si="15"/>
        <v>1</v>
      </c>
      <c r="I114" s="53">
        <f>+Inputs!I114</f>
        <v>320</v>
      </c>
      <c r="J114" s="257">
        <v>0</v>
      </c>
      <c r="K114" s="258">
        <v>1</v>
      </c>
      <c r="L114" s="53">
        <f>+Inputs!J114</f>
        <v>0</v>
      </c>
      <c r="M114" s="53">
        <f>+Inputs!M114</f>
        <v>112</v>
      </c>
      <c r="N114" s="53">
        <f t="shared" si="14"/>
        <v>21667332.017622061</v>
      </c>
      <c r="O114" s="37">
        <f t="shared" si="16"/>
        <v>613166.0347937718</v>
      </c>
      <c r="P114" s="45">
        <f t="shared" si="17"/>
        <v>2.91232640273601E-2</v>
      </c>
      <c r="Q114" s="12">
        <f t="shared" si="11"/>
        <v>2.91232640273601E-2</v>
      </c>
      <c r="R114"/>
    </row>
    <row r="115" spans="1:18" x14ac:dyDescent="0.2">
      <c r="A115" s="3" t="str">
        <f t="shared" si="12"/>
        <v>20225</v>
      </c>
      <c r="B115" s="49">
        <f t="shared" si="13"/>
        <v>2022</v>
      </c>
      <c r="C115" s="52">
        <v>44712</v>
      </c>
      <c r="D115" s="53">
        <f>+Inputs!D115</f>
        <v>21880073.671260841</v>
      </c>
      <c r="E115" s="53">
        <f>VLOOKUP(A115,'[11]HDD CDD Summary'!$R:$T,2,FALSE)</f>
        <v>108.24999999999997</v>
      </c>
      <c r="F115" s="53">
        <f>VLOOKUP(A115,'[11]HDD CDD Summary'!$R:$T,3,FALSE)</f>
        <v>36.75</v>
      </c>
      <c r="G115" s="53">
        <f>+Inputs!G115</f>
        <v>31</v>
      </c>
      <c r="H115" s="105">
        <f t="shared" si="15"/>
        <v>1</v>
      </c>
      <c r="I115" s="53">
        <f>+Inputs!I115</f>
        <v>336</v>
      </c>
      <c r="J115" s="257">
        <v>0</v>
      </c>
      <c r="K115" s="258">
        <v>1</v>
      </c>
      <c r="L115" s="53">
        <f>+Inputs!J115</f>
        <v>0</v>
      </c>
      <c r="M115" s="53">
        <f>+Inputs!M115</f>
        <v>113</v>
      </c>
      <c r="N115" s="53">
        <f t="shared" si="14"/>
        <v>21837951.604611363</v>
      </c>
      <c r="O115" s="37">
        <f t="shared" si="16"/>
        <v>-42122.066649477929</v>
      </c>
      <c r="P115" s="45">
        <f t="shared" si="17"/>
        <v>-1.9251336756148428E-3</v>
      </c>
      <c r="Q115" s="12">
        <f t="shared" si="11"/>
        <v>1.9251336756148428E-3</v>
      </c>
      <c r="R115"/>
    </row>
    <row r="116" spans="1:18" x14ac:dyDescent="0.2">
      <c r="A116" s="3" t="str">
        <f t="shared" si="12"/>
        <v>20226</v>
      </c>
      <c r="B116" s="49">
        <f t="shared" si="13"/>
        <v>2022</v>
      </c>
      <c r="C116" s="52">
        <v>44742</v>
      </c>
      <c r="D116" s="53">
        <f>+Inputs!D116</f>
        <v>22588251.5</v>
      </c>
      <c r="E116" s="53">
        <f>VLOOKUP(A116,'[11]HDD CDD Summary'!$R:$T,2,FALSE)</f>
        <v>17.699999999999996</v>
      </c>
      <c r="F116" s="53">
        <f>VLOOKUP(A116,'[11]HDD CDD Summary'!$R:$T,3,FALSE)</f>
        <v>64.2</v>
      </c>
      <c r="G116" s="53">
        <f>+Inputs!G116</f>
        <v>30</v>
      </c>
      <c r="H116" s="105">
        <f t="shared" si="15"/>
        <v>0.66666666666666663</v>
      </c>
      <c r="I116" s="53">
        <f>+Inputs!I116</f>
        <v>352</v>
      </c>
      <c r="J116" s="257">
        <v>0</v>
      </c>
      <c r="K116" s="258">
        <v>1</v>
      </c>
      <c r="L116" s="53">
        <f>+Inputs!J116</f>
        <v>0</v>
      </c>
      <c r="M116" s="53">
        <f>+Inputs!M116</f>
        <v>114</v>
      </c>
      <c r="N116" s="53">
        <f t="shared" si="14"/>
        <v>21933714.020667952</v>
      </c>
      <c r="O116" s="37">
        <f t="shared" si="16"/>
        <v>-654537.47933204845</v>
      </c>
      <c r="P116" s="45">
        <f t="shared" si="17"/>
        <v>-2.8976898868513505E-2</v>
      </c>
      <c r="Q116" s="12">
        <f t="shared" si="11"/>
        <v>2.8976898868513505E-2</v>
      </c>
      <c r="R116"/>
    </row>
    <row r="117" spans="1:18" x14ac:dyDescent="0.2">
      <c r="A117" s="3" t="str">
        <f t="shared" si="12"/>
        <v>20227</v>
      </c>
      <c r="B117" s="49">
        <f t="shared" si="13"/>
        <v>2022</v>
      </c>
      <c r="C117" s="52">
        <v>44773</v>
      </c>
      <c r="D117" s="53">
        <f>+Inputs!D117</f>
        <v>24276339.489999998</v>
      </c>
      <c r="E117" s="53">
        <f>VLOOKUP(A117,'[11]HDD CDD Summary'!$R:$T,2,FALSE)</f>
        <v>0</v>
      </c>
      <c r="F117" s="53">
        <f>VLOOKUP(A117,'[11]HDD CDD Summary'!$R:$T,3,FALSE)</f>
        <v>144.69999999999996</v>
      </c>
      <c r="G117" s="53">
        <f>+Inputs!G117</f>
        <v>31</v>
      </c>
      <c r="H117" s="105">
        <f t="shared" si="15"/>
        <v>0</v>
      </c>
      <c r="I117" s="53">
        <f>+Inputs!I117</f>
        <v>320</v>
      </c>
      <c r="J117" s="257">
        <v>0</v>
      </c>
      <c r="K117" s="258">
        <v>1</v>
      </c>
      <c r="L117" s="53">
        <f>+Inputs!J117</f>
        <v>0</v>
      </c>
      <c r="M117" s="53">
        <f>+Inputs!M117</f>
        <v>115</v>
      </c>
      <c r="N117" s="53">
        <f t="shared" si="14"/>
        <v>24225722.338649731</v>
      </c>
      <c r="O117" s="37">
        <f t="shared" si="16"/>
        <v>-50617.151350267231</v>
      </c>
      <c r="P117" s="45">
        <f t="shared" si="17"/>
        <v>-2.0850405132585019E-3</v>
      </c>
      <c r="Q117" s="12">
        <f t="shared" si="11"/>
        <v>2.0850405132585019E-3</v>
      </c>
      <c r="R117"/>
    </row>
    <row r="118" spans="1:18" x14ac:dyDescent="0.2">
      <c r="A118" s="3" t="str">
        <f t="shared" si="12"/>
        <v>20228</v>
      </c>
      <c r="B118" s="49">
        <f t="shared" si="13"/>
        <v>2022</v>
      </c>
      <c r="C118" s="52">
        <v>44804</v>
      </c>
      <c r="D118" s="53">
        <f>+Inputs!D118</f>
        <v>24568812.140000001</v>
      </c>
      <c r="E118" s="53">
        <f>VLOOKUP(A118,'[11]HDD CDD Summary'!$R:$T,2,FALSE)</f>
        <v>0</v>
      </c>
      <c r="F118" s="53">
        <f>VLOOKUP(A118,'[11]HDD CDD Summary'!$R:$T,3,FALSE)</f>
        <v>140.49999999999997</v>
      </c>
      <c r="G118" s="53">
        <f>+Inputs!G118</f>
        <v>31</v>
      </c>
      <c r="H118" s="105">
        <f t="shared" si="15"/>
        <v>0</v>
      </c>
      <c r="I118" s="53">
        <f>+Inputs!I118</f>
        <v>368</v>
      </c>
      <c r="J118" s="257">
        <v>0</v>
      </c>
      <c r="K118" s="258">
        <v>1</v>
      </c>
      <c r="L118" s="53">
        <f>+Inputs!J118</f>
        <v>0</v>
      </c>
      <c r="M118" s="53">
        <f>+Inputs!M118</f>
        <v>116</v>
      </c>
      <c r="N118" s="53">
        <f t="shared" si="14"/>
        <v>24674473.947022643</v>
      </c>
      <c r="O118" s="37">
        <f t="shared" si="16"/>
        <v>105661.80702264234</v>
      </c>
      <c r="P118" s="45">
        <f t="shared" si="17"/>
        <v>4.3006477651646993E-3</v>
      </c>
      <c r="Q118" s="12">
        <f t="shared" si="11"/>
        <v>4.3006477651646993E-3</v>
      </c>
      <c r="R118"/>
    </row>
    <row r="119" spans="1:18" x14ac:dyDescent="0.2">
      <c r="A119" s="3" t="str">
        <f t="shared" si="12"/>
        <v>20229</v>
      </c>
      <c r="B119" s="49">
        <f t="shared" si="13"/>
        <v>2022</v>
      </c>
      <c r="C119" s="52">
        <v>44834</v>
      </c>
      <c r="D119" s="53">
        <f>+Inputs!D119</f>
        <v>21763225.319999997</v>
      </c>
      <c r="E119" s="53">
        <f>VLOOKUP(A119,'[11]HDD CDD Summary'!$R:$T,2,FALSE)</f>
        <v>52.3</v>
      </c>
      <c r="F119" s="53">
        <f>VLOOKUP(A119,'[11]HDD CDD Summary'!$R:$T,3,FALSE)</f>
        <v>49.15</v>
      </c>
      <c r="G119" s="53">
        <f>+Inputs!G119</f>
        <v>30</v>
      </c>
      <c r="H119" s="105">
        <f t="shared" si="15"/>
        <v>0.33333333333333331</v>
      </c>
      <c r="I119" s="53">
        <f>+Inputs!I119</f>
        <v>336</v>
      </c>
      <c r="J119" s="257">
        <v>0</v>
      </c>
      <c r="K119" s="258">
        <v>1</v>
      </c>
      <c r="L119" s="53">
        <f>+Inputs!J119</f>
        <v>0</v>
      </c>
      <c r="M119" s="53">
        <f>+Inputs!M119</f>
        <v>117</v>
      </c>
      <c r="N119" s="53">
        <f t="shared" si="14"/>
        <v>21808535.432949971</v>
      </c>
      <c r="O119" s="37">
        <f t="shared" si="16"/>
        <v>45310.112949974835</v>
      </c>
      <c r="P119" s="45">
        <f t="shared" si="17"/>
        <v>2.0819576273161905E-3</v>
      </c>
      <c r="Q119" s="12">
        <f t="shared" si="11"/>
        <v>2.0819576273161905E-3</v>
      </c>
      <c r="R119"/>
    </row>
    <row r="120" spans="1:18" x14ac:dyDescent="0.2">
      <c r="A120" s="3" t="str">
        <f t="shared" si="12"/>
        <v>202210</v>
      </c>
      <c r="B120" s="49">
        <f t="shared" si="13"/>
        <v>2022</v>
      </c>
      <c r="C120" s="52">
        <v>44865</v>
      </c>
      <c r="D120" s="53">
        <f>+Inputs!D120</f>
        <v>21332534.440000001</v>
      </c>
      <c r="E120" s="53">
        <f>VLOOKUP(A120,'[11]HDD CDD Summary'!$R:$T,2,FALSE)</f>
        <v>236.70000000000002</v>
      </c>
      <c r="F120" s="53">
        <f>VLOOKUP(A120,'[11]HDD CDD Summary'!$R:$T,3,FALSE)</f>
        <v>0.2</v>
      </c>
      <c r="G120" s="53">
        <f>+Inputs!G120</f>
        <v>31</v>
      </c>
      <c r="H120" s="105">
        <f t="shared" si="15"/>
        <v>1</v>
      </c>
      <c r="I120" s="53">
        <f>+Inputs!I120</f>
        <v>320</v>
      </c>
      <c r="J120" s="257">
        <v>0</v>
      </c>
      <c r="K120" s="258">
        <v>1</v>
      </c>
      <c r="L120" s="53">
        <f>+Inputs!J120</f>
        <v>0</v>
      </c>
      <c r="M120" s="53">
        <f>+Inputs!M120</f>
        <v>118</v>
      </c>
      <c r="N120" s="53">
        <f t="shared" si="14"/>
        <v>21580486.788903553</v>
      </c>
      <c r="O120" s="37">
        <f t="shared" si="16"/>
        <v>247952.3489035517</v>
      </c>
      <c r="P120" s="45">
        <f t="shared" si="17"/>
        <v>1.1623201621961225E-2</v>
      </c>
      <c r="Q120" s="12">
        <f t="shared" si="11"/>
        <v>1.1623201621961225E-2</v>
      </c>
      <c r="R120"/>
    </row>
    <row r="121" spans="1:18" x14ac:dyDescent="0.2">
      <c r="A121" s="3" t="str">
        <f t="shared" si="12"/>
        <v>202211</v>
      </c>
      <c r="B121" s="49">
        <f t="shared" si="13"/>
        <v>2022</v>
      </c>
      <c r="C121" s="52">
        <v>44895</v>
      </c>
      <c r="D121" s="53">
        <f>+Inputs!D121</f>
        <v>22267327.43</v>
      </c>
      <c r="E121" s="53">
        <f>VLOOKUP(A121,'[11]HDD CDD Summary'!$R:$T,2,FALSE)</f>
        <v>380.09999999999997</v>
      </c>
      <c r="F121" s="53">
        <f>VLOOKUP(A121,'[11]HDD CDD Summary'!$R:$T,3,FALSE)</f>
        <v>0.9</v>
      </c>
      <c r="G121" s="53">
        <f>+Inputs!G121</f>
        <v>30</v>
      </c>
      <c r="H121" s="105">
        <f t="shared" si="15"/>
        <v>1</v>
      </c>
      <c r="I121" s="53">
        <f>+Inputs!I121</f>
        <v>352</v>
      </c>
      <c r="J121" s="257">
        <v>0</v>
      </c>
      <c r="K121" s="258">
        <v>1</v>
      </c>
      <c r="L121" s="53">
        <f>+Inputs!J121</f>
        <v>0</v>
      </c>
      <c r="M121" s="53">
        <f>+Inputs!M121</f>
        <v>119</v>
      </c>
      <c r="N121" s="53">
        <f t="shared" si="14"/>
        <v>22376527.476532709</v>
      </c>
      <c r="O121" s="37">
        <f t="shared" si="16"/>
        <v>109200.04653270915</v>
      </c>
      <c r="P121" s="45">
        <f t="shared" si="17"/>
        <v>4.9040481789290845E-3</v>
      </c>
      <c r="Q121" s="12">
        <f t="shared" si="11"/>
        <v>4.9040481789290845E-3</v>
      </c>
      <c r="R121"/>
    </row>
    <row r="122" spans="1:18" x14ac:dyDescent="0.2">
      <c r="A122" s="3" t="str">
        <f t="shared" si="12"/>
        <v>202212</v>
      </c>
      <c r="B122" s="49">
        <f t="shared" si="13"/>
        <v>2022</v>
      </c>
      <c r="C122" s="52">
        <v>44926</v>
      </c>
      <c r="D122" s="53">
        <f>+Inputs!D122</f>
        <v>23648226.640000001</v>
      </c>
      <c r="E122" s="53">
        <f>VLOOKUP(A122,'[11]HDD CDD Summary'!$R:$T,2,FALSE)</f>
        <v>575.29999999999984</v>
      </c>
      <c r="F122" s="53">
        <f>VLOOKUP(A122,'[11]HDD CDD Summary'!$R:$T,3,FALSE)</f>
        <v>0</v>
      </c>
      <c r="G122" s="53">
        <f>+Inputs!G122</f>
        <v>31</v>
      </c>
      <c r="H122" s="105">
        <f t="shared" si="15"/>
        <v>0.66666666666666663</v>
      </c>
      <c r="I122" s="53">
        <f>+Inputs!I122</f>
        <v>320</v>
      </c>
      <c r="J122" s="257">
        <v>0</v>
      </c>
      <c r="K122" s="258">
        <v>1</v>
      </c>
      <c r="L122" s="53">
        <f>+Inputs!J122</f>
        <v>0</v>
      </c>
      <c r="M122" s="53">
        <f>+Inputs!M122</f>
        <v>120</v>
      </c>
      <c r="N122" s="53">
        <f t="shared" si="14"/>
        <v>23737731.355114765</v>
      </c>
      <c r="O122" s="37">
        <f t="shared" si="16"/>
        <v>89504.715114764869</v>
      </c>
      <c r="P122" s="45">
        <f t="shared" si="17"/>
        <v>3.7848383507696655E-3</v>
      </c>
      <c r="Q122" s="12">
        <f t="shared" si="11"/>
        <v>3.7848383507696655E-3</v>
      </c>
      <c r="R122"/>
    </row>
    <row r="123" spans="1:18" x14ac:dyDescent="0.2">
      <c r="A123" s="3" t="str">
        <f t="shared" si="12"/>
        <v>20231</v>
      </c>
      <c r="B123" s="49">
        <f t="shared" si="13"/>
        <v>2023</v>
      </c>
      <c r="C123" s="52">
        <v>44957</v>
      </c>
      <c r="D123" s="201">
        <f>+Inputs!D123</f>
        <v>24583662.5</v>
      </c>
      <c r="E123" s="201">
        <f>+Inputs!E123</f>
        <v>585.09999999999991</v>
      </c>
      <c r="F123" s="201">
        <f>+Inputs!F123</f>
        <v>0</v>
      </c>
      <c r="G123" s="53">
        <f>+Inputs!G123</f>
        <v>31</v>
      </c>
      <c r="H123" s="105">
        <f t="shared" si="15"/>
        <v>0</v>
      </c>
      <c r="I123" s="53">
        <f>+Inputs!I123</f>
        <v>336</v>
      </c>
      <c r="J123" s="257">
        <v>0</v>
      </c>
      <c r="K123" s="257">
        <v>0</v>
      </c>
      <c r="L123" s="53">
        <f>+Inputs!J123</f>
        <v>0</v>
      </c>
      <c r="M123" s="201">
        <f>+Inputs!M123</f>
        <v>121</v>
      </c>
      <c r="N123" s="53">
        <f t="shared" si="14"/>
        <v>23937208.003134783</v>
      </c>
      <c r="O123" s="224">
        <f t="shared" ref="O123:O131" si="18">N123-D123</f>
        <v>-646454.49686521664</v>
      </c>
      <c r="P123" s="225">
        <f t="shared" ref="P123:P131" si="19">O123/D123</f>
        <v>-2.6296102009422586E-2</v>
      </c>
      <c r="Q123" s="226">
        <f t="shared" ref="Q123:Q131" si="20">ABS(P123)</f>
        <v>2.6296102009422586E-2</v>
      </c>
    </row>
    <row r="124" spans="1:18" x14ac:dyDescent="0.2">
      <c r="A124" s="3" t="str">
        <f t="shared" si="12"/>
        <v>20232</v>
      </c>
      <c r="B124" s="49">
        <f t="shared" si="13"/>
        <v>2023</v>
      </c>
      <c r="C124" s="52">
        <v>44985</v>
      </c>
      <c r="D124" s="201">
        <f>+Inputs!D124</f>
        <v>22002707.612050563</v>
      </c>
      <c r="E124" s="201">
        <f>+Inputs!E124</f>
        <v>543.29999999999995</v>
      </c>
      <c r="F124" s="201">
        <f>+Inputs!F124</f>
        <v>0</v>
      </c>
      <c r="G124" s="53">
        <f>+Inputs!G124</f>
        <v>28</v>
      </c>
      <c r="H124" s="105">
        <f t="shared" si="15"/>
        <v>0</v>
      </c>
      <c r="I124" s="53">
        <f>+Inputs!I124</f>
        <v>304</v>
      </c>
      <c r="J124" s="257">
        <v>0</v>
      </c>
      <c r="K124" s="257">
        <v>0</v>
      </c>
      <c r="L124" s="53">
        <f>+Inputs!J124</f>
        <v>0</v>
      </c>
      <c r="M124" s="201">
        <f>+Inputs!M124</f>
        <v>122</v>
      </c>
      <c r="N124" s="53">
        <f t="shared" si="14"/>
        <v>22088077.202776451</v>
      </c>
      <c r="O124" s="224">
        <f t="shared" si="18"/>
        <v>85369.590725887567</v>
      </c>
      <c r="P124" s="225">
        <f t="shared" si="19"/>
        <v>3.8799584228957295E-3</v>
      </c>
      <c r="Q124" s="226">
        <f t="shared" si="20"/>
        <v>3.8799584228957295E-3</v>
      </c>
      <c r="R124"/>
    </row>
    <row r="125" spans="1:18" x14ac:dyDescent="0.2">
      <c r="A125" s="3" t="str">
        <f t="shared" si="12"/>
        <v>20233</v>
      </c>
      <c r="B125" s="49">
        <f t="shared" si="13"/>
        <v>2023</v>
      </c>
      <c r="C125" s="52">
        <v>45016</v>
      </c>
      <c r="D125" s="201">
        <f>+Inputs!D125</f>
        <v>23768845.469999999</v>
      </c>
      <c r="E125" s="201">
        <f>+Inputs!E125</f>
        <v>530.90000000000009</v>
      </c>
      <c r="F125" s="201">
        <f>+Inputs!F125</f>
        <v>0</v>
      </c>
      <c r="G125" s="53">
        <f>+Inputs!G125</f>
        <v>31</v>
      </c>
      <c r="H125" s="105">
        <f t="shared" si="15"/>
        <v>0.33333333333333331</v>
      </c>
      <c r="I125" s="53">
        <f>+Inputs!I125</f>
        <v>368</v>
      </c>
      <c r="J125" s="257">
        <v>0</v>
      </c>
      <c r="K125" s="257">
        <v>0</v>
      </c>
      <c r="L125" s="53">
        <f>+Inputs!J125</f>
        <v>0</v>
      </c>
      <c r="M125" s="201">
        <f>+Inputs!M125</f>
        <v>123</v>
      </c>
      <c r="N125" s="53">
        <f t="shared" si="14"/>
        <v>23831342.855809815</v>
      </c>
      <c r="O125" s="224">
        <f t="shared" si="18"/>
        <v>62497.38580981642</v>
      </c>
      <c r="P125" s="225">
        <f t="shared" si="19"/>
        <v>2.6293824783663934E-3</v>
      </c>
      <c r="Q125" s="226">
        <f t="shared" si="20"/>
        <v>2.6293824783663934E-3</v>
      </c>
      <c r="R125"/>
    </row>
    <row r="126" spans="1:18" x14ac:dyDescent="0.2">
      <c r="A126" s="3" t="str">
        <f t="shared" si="12"/>
        <v>20234</v>
      </c>
      <c r="B126" s="49">
        <f t="shared" si="13"/>
        <v>2023</v>
      </c>
      <c r="C126" s="52">
        <v>45046</v>
      </c>
      <c r="D126" s="201">
        <f>+Inputs!D126</f>
        <v>21333713.989999998</v>
      </c>
      <c r="E126" s="201">
        <f>+Inputs!E126</f>
        <v>275.70000000000005</v>
      </c>
      <c r="F126" s="201">
        <f>+Inputs!F126</f>
        <v>7.1000000000000005</v>
      </c>
      <c r="G126" s="53">
        <f>+Inputs!G126</f>
        <v>30</v>
      </c>
      <c r="H126" s="105">
        <f t="shared" si="15"/>
        <v>1</v>
      </c>
      <c r="I126" s="53">
        <f>+Inputs!I126</f>
        <v>304</v>
      </c>
      <c r="J126" s="257">
        <v>0</v>
      </c>
      <c r="K126" s="257">
        <v>0</v>
      </c>
      <c r="L126" s="53">
        <f>+Inputs!J126</f>
        <v>0</v>
      </c>
      <c r="M126" s="201">
        <f>+Inputs!M126</f>
        <v>124</v>
      </c>
      <c r="N126" s="53">
        <f t="shared" si="14"/>
        <v>21049456.394887783</v>
      </c>
      <c r="O126" s="224">
        <f t="shared" si="18"/>
        <v>-284257.59511221573</v>
      </c>
      <c r="P126" s="225">
        <f t="shared" si="19"/>
        <v>-1.3324337020992177E-2</v>
      </c>
      <c r="Q126" s="226">
        <f t="shared" si="20"/>
        <v>1.3324337020992177E-2</v>
      </c>
      <c r="R126"/>
    </row>
    <row r="127" spans="1:18" x14ac:dyDescent="0.2">
      <c r="A127" s="3" t="str">
        <f t="shared" si="12"/>
        <v>20235</v>
      </c>
      <c r="B127" s="49">
        <f t="shared" si="13"/>
        <v>2023</v>
      </c>
      <c r="C127" s="52">
        <v>45077</v>
      </c>
      <c r="D127" s="201">
        <f>+Inputs!D127</f>
        <v>21691788.009999998</v>
      </c>
      <c r="E127" s="201">
        <f>+Inputs!E127</f>
        <v>153.89999999999998</v>
      </c>
      <c r="F127" s="201">
        <f>+Inputs!F127</f>
        <v>15</v>
      </c>
      <c r="G127" s="53">
        <f>+Inputs!G127</f>
        <v>31</v>
      </c>
      <c r="H127" s="105">
        <f t="shared" si="15"/>
        <v>1</v>
      </c>
      <c r="I127" s="53">
        <f>+Inputs!I127</f>
        <v>352</v>
      </c>
      <c r="J127" s="257">
        <v>0</v>
      </c>
      <c r="K127" s="257">
        <v>0</v>
      </c>
      <c r="L127" s="53">
        <f>+Inputs!J127</f>
        <v>0</v>
      </c>
      <c r="M127" s="201">
        <f>+Inputs!M127</f>
        <v>125</v>
      </c>
      <c r="N127" s="53">
        <f t="shared" si="14"/>
        <v>21510509.573401812</v>
      </c>
      <c r="O127" s="224">
        <f t="shared" si="18"/>
        <v>-181278.43659818545</v>
      </c>
      <c r="P127" s="225">
        <f t="shared" si="19"/>
        <v>-8.3570075696210652E-3</v>
      </c>
      <c r="Q127" s="226">
        <f t="shared" si="20"/>
        <v>8.3570075696210652E-3</v>
      </c>
      <c r="R127"/>
    </row>
    <row r="128" spans="1:18" x14ac:dyDescent="0.2">
      <c r="A128" s="3" t="str">
        <f t="shared" si="12"/>
        <v>20236</v>
      </c>
      <c r="B128" s="49">
        <f t="shared" si="13"/>
        <v>2023</v>
      </c>
      <c r="C128" s="52">
        <v>45107</v>
      </c>
      <c r="D128" s="201">
        <f>+Inputs!D128</f>
        <v>22454588.449999999</v>
      </c>
      <c r="E128" s="201">
        <f>+Inputs!E128</f>
        <v>16.099999999999998</v>
      </c>
      <c r="F128" s="201">
        <f>+Inputs!F128</f>
        <v>59.100000000000009</v>
      </c>
      <c r="G128" s="53">
        <f>+Inputs!G128</f>
        <v>30</v>
      </c>
      <c r="H128" s="105">
        <f t="shared" si="15"/>
        <v>0.66666666666666663</v>
      </c>
      <c r="I128" s="53">
        <f>+Inputs!I128</f>
        <v>352</v>
      </c>
      <c r="J128" s="257">
        <v>0</v>
      </c>
      <c r="K128" s="257">
        <v>0</v>
      </c>
      <c r="L128" s="53">
        <f>+Inputs!J128</f>
        <v>0</v>
      </c>
      <c r="M128" s="201">
        <f>+Inputs!M128</f>
        <v>126</v>
      </c>
      <c r="N128" s="53">
        <f t="shared" si="14"/>
        <v>21559695.367952306</v>
      </c>
      <c r="O128" s="224">
        <f t="shared" si="18"/>
        <v>-894893.08204769343</v>
      </c>
      <c r="P128" s="225">
        <f t="shared" si="19"/>
        <v>-3.985346175639632E-2</v>
      </c>
      <c r="Q128" s="226">
        <f t="shared" si="20"/>
        <v>3.985346175639632E-2</v>
      </c>
      <c r="R128"/>
    </row>
    <row r="129" spans="1:18" x14ac:dyDescent="0.2">
      <c r="A129" s="3" t="str">
        <f t="shared" si="12"/>
        <v>20237</v>
      </c>
      <c r="B129" s="49">
        <f t="shared" si="13"/>
        <v>2023</v>
      </c>
      <c r="C129" s="52">
        <v>45138</v>
      </c>
      <c r="D129" s="201">
        <f>+Inputs!D129</f>
        <v>24590952.84</v>
      </c>
      <c r="E129" s="201">
        <f>+Inputs!E129</f>
        <v>0</v>
      </c>
      <c r="F129" s="201">
        <f>+Inputs!F129</f>
        <v>128.29999999999995</v>
      </c>
      <c r="G129" s="53">
        <f>+Inputs!G129</f>
        <v>31</v>
      </c>
      <c r="H129" s="105">
        <f t="shared" si="15"/>
        <v>0</v>
      </c>
      <c r="I129" s="53">
        <f>+Inputs!I129</f>
        <v>320</v>
      </c>
      <c r="J129" s="257">
        <v>0</v>
      </c>
      <c r="K129" s="257">
        <v>0</v>
      </c>
      <c r="L129" s="53">
        <f>+Inputs!J129</f>
        <v>0</v>
      </c>
      <c r="M129" s="201">
        <f>+Inputs!M129</f>
        <v>127</v>
      </c>
      <c r="N129" s="53">
        <f t="shared" si="14"/>
        <v>23585841.795394555</v>
      </c>
      <c r="O129" s="224">
        <f t="shared" si="18"/>
        <v>-1005111.0446054451</v>
      </c>
      <c r="P129" s="225">
        <f t="shared" si="19"/>
        <v>-4.0873204513267862E-2</v>
      </c>
      <c r="Q129" s="226">
        <f t="shared" si="20"/>
        <v>4.0873204513267862E-2</v>
      </c>
      <c r="R129"/>
    </row>
    <row r="130" spans="1:18" x14ac:dyDescent="0.2">
      <c r="A130" s="3" t="str">
        <f t="shared" si="12"/>
        <v>20238</v>
      </c>
      <c r="B130" s="49">
        <f t="shared" si="13"/>
        <v>2023</v>
      </c>
      <c r="C130" s="52">
        <v>45169</v>
      </c>
      <c r="D130" s="201">
        <f>+Inputs!D130</f>
        <v>23090322.559999999</v>
      </c>
      <c r="E130" s="201">
        <f>+Inputs!E130</f>
        <v>7</v>
      </c>
      <c r="F130" s="201">
        <f>+Inputs!F130</f>
        <v>70.799999999999983</v>
      </c>
      <c r="G130" s="53">
        <f>+Inputs!G130</f>
        <v>31</v>
      </c>
      <c r="H130" s="105">
        <f t="shared" si="15"/>
        <v>0</v>
      </c>
      <c r="I130" s="53">
        <f>+Inputs!I130</f>
        <v>368</v>
      </c>
      <c r="J130" s="257">
        <v>0</v>
      </c>
      <c r="K130" s="257">
        <v>0</v>
      </c>
      <c r="L130" s="53">
        <f>+Inputs!J130</f>
        <v>0</v>
      </c>
      <c r="M130" s="201">
        <f>+Inputs!M130</f>
        <v>128</v>
      </c>
      <c r="N130" s="53">
        <f t="shared" si="14"/>
        <v>22777413.612242844</v>
      </c>
      <c r="O130" s="224">
        <f t="shared" si="18"/>
        <v>-312908.9477571547</v>
      </c>
      <c r="P130" s="225">
        <f t="shared" si="19"/>
        <v>-1.3551519124259247E-2</v>
      </c>
      <c r="Q130" s="226">
        <f t="shared" si="20"/>
        <v>1.3551519124259247E-2</v>
      </c>
      <c r="R130"/>
    </row>
    <row r="131" spans="1:18" x14ac:dyDescent="0.2">
      <c r="A131" s="3" t="str">
        <f t="shared" si="12"/>
        <v>20239</v>
      </c>
      <c r="B131" s="49">
        <f t="shared" si="13"/>
        <v>2023</v>
      </c>
      <c r="C131" s="52">
        <v>45199</v>
      </c>
      <c r="D131" s="201">
        <f>+Inputs!D131</f>
        <v>21567772.719999999</v>
      </c>
      <c r="E131" s="201">
        <f>+Inputs!E131</f>
        <v>26</v>
      </c>
      <c r="F131" s="201">
        <f>+Inputs!F131</f>
        <v>47</v>
      </c>
      <c r="G131" s="53">
        <f>+Inputs!G131</f>
        <v>30</v>
      </c>
      <c r="H131" s="105">
        <f t="shared" si="15"/>
        <v>0.33333333333333331</v>
      </c>
      <c r="I131" s="53">
        <f>+Inputs!I131</f>
        <v>320</v>
      </c>
      <c r="J131" s="257">
        <v>0</v>
      </c>
      <c r="K131" s="257">
        <v>0</v>
      </c>
      <c r="L131" s="53">
        <f>+Inputs!J131</f>
        <v>0</v>
      </c>
      <c r="M131" s="201">
        <f>+Inputs!M131</f>
        <v>129</v>
      </c>
      <c r="N131" s="53">
        <f t="shared" si="14"/>
        <v>21184647.065208763</v>
      </c>
      <c r="O131" s="224">
        <f t="shared" si="18"/>
        <v>-383125.65479123592</v>
      </c>
      <c r="P131" s="225">
        <f t="shared" si="19"/>
        <v>-1.7763802492037573E-2</v>
      </c>
      <c r="Q131" s="226">
        <f t="shared" si="20"/>
        <v>1.7763802492037573E-2</v>
      </c>
      <c r="R131"/>
    </row>
    <row r="132" spans="1:18" x14ac:dyDescent="0.2">
      <c r="A132" s="3" t="str">
        <f t="shared" ref="A132:A146" si="21">YEAR(C132)&amp;MONTH(C132)</f>
        <v>202310</v>
      </c>
      <c r="B132" s="49">
        <f t="shared" ref="B132:B146" si="22">YEAR(C132)</f>
        <v>2023</v>
      </c>
      <c r="C132" s="52">
        <v>45230</v>
      </c>
      <c r="D132" s="53"/>
      <c r="E132" s="201">
        <f>+Inputs!E132</f>
        <v>222.22000000000003</v>
      </c>
      <c r="F132" s="201">
        <f>+Inputs!F132</f>
        <v>3.3</v>
      </c>
      <c r="G132" s="53">
        <f>+Inputs!G132</f>
        <v>31</v>
      </c>
      <c r="H132" s="105">
        <f t="shared" si="15"/>
        <v>1</v>
      </c>
      <c r="I132" s="53">
        <f>+Inputs!I132</f>
        <v>336</v>
      </c>
      <c r="J132" s="257">
        <v>0</v>
      </c>
      <c r="K132" s="257">
        <v>0</v>
      </c>
      <c r="L132" s="53">
        <f>+Inputs!J132</f>
        <v>0</v>
      </c>
      <c r="M132" s="201">
        <f>+Inputs!M132</f>
        <v>129</v>
      </c>
      <c r="N132" s="53">
        <f t="shared" ref="N132:N146" si="23">$T$18+$T$19*E132+$T$20*F132+$T$21*G132+$T$22*H132+$T$23*I132+J132*$T$24+K132*$T$25+L132*$T$26+M132*$T$27</f>
        <v>21496839.298660271</v>
      </c>
      <c r="O132" s="37"/>
      <c r="P132"/>
      <c r="Q132" s="5">
        <f>AVERAGE(Q3:Q131)</f>
        <v>1.4783817548313972E-2</v>
      </c>
      <c r="R132" t="s">
        <v>72</v>
      </c>
    </row>
    <row r="133" spans="1:18" x14ac:dyDescent="0.2">
      <c r="A133" s="3" t="str">
        <f t="shared" si="21"/>
        <v>202311</v>
      </c>
      <c r="B133" s="49">
        <f t="shared" si="22"/>
        <v>2023</v>
      </c>
      <c r="C133" s="52">
        <v>45260</v>
      </c>
      <c r="D133" s="53"/>
      <c r="E133" s="201">
        <f>+Inputs!E133</f>
        <v>420.84500000000008</v>
      </c>
      <c r="F133" s="201">
        <f>+Inputs!F133</f>
        <v>0.09</v>
      </c>
      <c r="G133" s="53">
        <f>+Inputs!G133</f>
        <v>30</v>
      </c>
      <c r="H133" s="105">
        <f t="shared" si="15"/>
        <v>1</v>
      </c>
      <c r="I133" s="53">
        <f>+Inputs!I133</f>
        <v>352</v>
      </c>
      <c r="J133" s="257">
        <v>0</v>
      </c>
      <c r="K133" s="257">
        <v>0</v>
      </c>
      <c r="L133" s="53">
        <f>+Inputs!J133</f>
        <v>0</v>
      </c>
      <c r="M133" s="201">
        <f>+Inputs!M133</f>
        <v>129</v>
      </c>
      <c r="N133" s="53">
        <f t="shared" si="23"/>
        <v>22323707.083195947</v>
      </c>
      <c r="O133" s="37"/>
      <c r="P133"/>
      <c r="Q133"/>
      <c r="R133"/>
    </row>
    <row r="134" spans="1:18" x14ac:dyDescent="0.2">
      <c r="A134" s="3" t="str">
        <f t="shared" si="21"/>
        <v>202312</v>
      </c>
      <c r="B134" s="49">
        <f t="shared" si="22"/>
        <v>2023</v>
      </c>
      <c r="C134" s="52">
        <v>45291</v>
      </c>
      <c r="D134" s="53"/>
      <c r="E134" s="201">
        <f>+Inputs!E134</f>
        <v>579.06000000000006</v>
      </c>
      <c r="F134" s="201">
        <f>+Inputs!F134</f>
        <v>0</v>
      </c>
      <c r="G134" s="53">
        <f>+Inputs!G134</f>
        <v>31</v>
      </c>
      <c r="H134" s="105">
        <f t="shared" si="15"/>
        <v>0.66666666666666663</v>
      </c>
      <c r="I134" s="53">
        <f>+Inputs!I134</f>
        <v>304</v>
      </c>
      <c r="J134" s="257">
        <v>0</v>
      </c>
      <c r="K134" s="257">
        <v>0</v>
      </c>
      <c r="L134" s="53">
        <f>+Inputs!J134</f>
        <v>0</v>
      </c>
      <c r="M134" s="201">
        <f>+Inputs!M134</f>
        <v>129</v>
      </c>
      <c r="N134" s="53">
        <f t="shared" si="23"/>
        <v>23298085.081067398</v>
      </c>
      <c r="O134" s="37"/>
      <c r="P134"/>
      <c r="Q134"/>
      <c r="R134"/>
    </row>
    <row r="135" spans="1:18" x14ac:dyDescent="0.2">
      <c r="A135" s="3" t="str">
        <f t="shared" si="21"/>
        <v>20241</v>
      </c>
      <c r="B135" s="49">
        <f t="shared" si="22"/>
        <v>2024</v>
      </c>
      <c r="C135" s="52">
        <v>45322</v>
      </c>
      <c r="D135" s="53"/>
      <c r="E135" s="201">
        <f>+Inputs!E135</f>
        <v>703.65</v>
      </c>
      <c r="F135" s="201">
        <f>+Inputs!F135</f>
        <v>0</v>
      </c>
      <c r="G135" s="53">
        <f>+Inputs!G135</f>
        <v>31</v>
      </c>
      <c r="H135" s="105">
        <f t="shared" si="15"/>
        <v>0</v>
      </c>
      <c r="I135" s="53">
        <f>+Inputs!I135</f>
        <v>352</v>
      </c>
      <c r="J135" s="257">
        <v>0</v>
      </c>
      <c r="K135" s="257">
        <v>0</v>
      </c>
      <c r="L135" s="53">
        <f>+Inputs!J135</f>
        <v>0</v>
      </c>
      <c r="M135" s="201">
        <f>+Inputs!M135</f>
        <v>129</v>
      </c>
      <c r="N135" s="53">
        <f t="shared" si="23"/>
        <v>24912167.373339966</v>
      </c>
      <c r="O135" s="37"/>
      <c r="P135"/>
      <c r="Q135"/>
      <c r="R135"/>
    </row>
    <row r="136" spans="1:18" x14ac:dyDescent="0.2">
      <c r="A136" s="3" t="str">
        <f t="shared" si="21"/>
        <v>20242</v>
      </c>
      <c r="B136" s="49">
        <f t="shared" si="22"/>
        <v>2024</v>
      </c>
      <c r="C136" s="52">
        <v>45351</v>
      </c>
      <c r="D136" s="53"/>
      <c r="E136" s="201">
        <f>+Inputs!E136</f>
        <v>630.40499999999997</v>
      </c>
      <c r="F136" s="201">
        <f>+Inputs!F136</f>
        <v>0</v>
      </c>
      <c r="G136" s="53">
        <f>+Inputs!G136</f>
        <v>29</v>
      </c>
      <c r="H136" s="105">
        <f t="shared" si="15"/>
        <v>0</v>
      </c>
      <c r="I136" s="53">
        <f>+Inputs!I136</f>
        <v>320</v>
      </c>
      <c r="J136" s="257">
        <v>0</v>
      </c>
      <c r="K136" s="257">
        <v>0</v>
      </c>
      <c r="L136" s="53">
        <f>+Inputs!J136</f>
        <v>0</v>
      </c>
      <c r="M136" s="201">
        <f>+Inputs!M136</f>
        <v>129</v>
      </c>
      <c r="N136" s="53">
        <f t="shared" si="23"/>
        <v>23288704.129052155</v>
      </c>
      <c r="O136" s="37"/>
      <c r="P136"/>
      <c r="Q136"/>
      <c r="R136"/>
    </row>
    <row r="137" spans="1:18" x14ac:dyDescent="0.2">
      <c r="A137" s="3" t="str">
        <f t="shared" si="21"/>
        <v>20243</v>
      </c>
      <c r="B137" s="49">
        <f t="shared" si="22"/>
        <v>2024</v>
      </c>
      <c r="C137" s="52">
        <v>45382</v>
      </c>
      <c r="D137" s="53"/>
      <c r="E137" s="201">
        <f>+Inputs!E137</f>
        <v>547.82999999999993</v>
      </c>
      <c r="F137" s="201">
        <f>+Inputs!F137</f>
        <v>0</v>
      </c>
      <c r="G137" s="53">
        <f>+Inputs!G137</f>
        <v>31</v>
      </c>
      <c r="H137" s="105">
        <f t="shared" si="15"/>
        <v>0.33333333333333331</v>
      </c>
      <c r="I137" s="53">
        <f>+Inputs!I137</f>
        <v>320</v>
      </c>
      <c r="J137" s="257">
        <v>0</v>
      </c>
      <c r="K137" s="257">
        <v>0</v>
      </c>
      <c r="L137" s="53">
        <f>+Inputs!J137</f>
        <v>0</v>
      </c>
      <c r="M137" s="201">
        <f>+Inputs!M137</f>
        <v>129</v>
      </c>
      <c r="N137" s="53">
        <f t="shared" si="23"/>
        <v>23475451.936343335</v>
      </c>
      <c r="O137" s="37"/>
      <c r="P137"/>
      <c r="Q137"/>
      <c r="R137"/>
    </row>
    <row r="138" spans="1:18" x14ac:dyDescent="0.2">
      <c r="A138" s="3" t="str">
        <f t="shared" si="21"/>
        <v>20244</v>
      </c>
      <c r="B138" s="49">
        <f t="shared" si="22"/>
        <v>2024</v>
      </c>
      <c r="C138" s="52">
        <v>45412</v>
      </c>
      <c r="D138" s="53"/>
      <c r="E138" s="201">
        <f>+Inputs!E138</f>
        <v>338.72500000000002</v>
      </c>
      <c r="F138" s="201">
        <f>+Inputs!F138</f>
        <v>0.71000000000000008</v>
      </c>
      <c r="G138" s="53">
        <f>+Inputs!G138</f>
        <v>30</v>
      </c>
      <c r="H138" s="105">
        <f t="shared" si="15"/>
        <v>1</v>
      </c>
      <c r="I138" s="53">
        <f>+Inputs!I138</f>
        <v>352</v>
      </c>
      <c r="J138" s="257">
        <v>0</v>
      </c>
      <c r="K138" s="257">
        <v>0</v>
      </c>
      <c r="L138" s="53">
        <f>+Inputs!J138</f>
        <v>0</v>
      </c>
      <c r="M138" s="201">
        <f>+Inputs!M138</f>
        <v>129</v>
      </c>
      <c r="N138" s="53">
        <f t="shared" si="23"/>
        <v>21864513.324002564</v>
      </c>
      <c r="O138" s="37"/>
      <c r="P138"/>
      <c r="Q138"/>
      <c r="R138"/>
    </row>
    <row r="139" spans="1:18" x14ac:dyDescent="0.2">
      <c r="A139" s="3" t="str">
        <f t="shared" si="21"/>
        <v>20245</v>
      </c>
      <c r="B139" s="49">
        <f t="shared" si="22"/>
        <v>2024</v>
      </c>
      <c r="C139" s="52">
        <v>45443</v>
      </c>
      <c r="D139" s="53"/>
      <c r="E139" s="201">
        <f>+Inputs!E139</f>
        <v>144.06</v>
      </c>
      <c r="F139" s="201">
        <f>+Inputs!F139</f>
        <v>23.914999999999999</v>
      </c>
      <c r="G139" s="53">
        <f>+Inputs!G139</f>
        <v>31</v>
      </c>
      <c r="H139" s="105">
        <f t="shared" si="15"/>
        <v>1</v>
      </c>
      <c r="I139" s="53">
        <f>+Inputs!I139</f>
        <v>352</v>
      </c>
      <c r="J139" s="257">
        <v>0</v>
      </c>
      <c r="K139" s="257">
        <v>0</v>
      </c>
      <c r="L139" s="53">
        <f>+Inputs!J139</f>
        <v>0</v>
      </c>
      <c r="M139" s="201">
        <f>+Inputs!M139</f>
        <v>129</v>
      </c>
      <c r="N139" s="53">
        <f t="shared" si="23"/>
        <v>21726335.102057181</v>
      </c>
      <c r="O139" s="37"/>
      <c r="P139"/>
      <c r="Q139"/>
      <c r="R139"/>
    </row>
    <row r="140" spans="1:18" x14ac:dyDescent="0.2">
      <c r="A140" s="3" t="str">
        <f t="shared" si="21"/>
        <v>20246</v>
      </c>
      <c r="B140" s="49">
        <f t="shared" si="22"/>
        <v>2024</v>
      </c>
      <c r="C140" s="52">
        <v>45473</v>
      </c>
      <c r="D140" s="53"/>
      <c r="E140" s="201">
        <f>+Inputs!E140</f>
        <v>21.37</v>
      </c>
      <c r="F140" s="201">
        <f>+Inputs!F140</f>
        <v>69.710000000000008</v>
      </c>
      <c r="G140" s="53">
        <f>+Inputs!G140</f>
        <v>30</v>
      </c>
      <c r="H140" s="105">
        <f t="shared" si="15"/>
        <v>0.66666666666666663</v>
      </c>
      <c r="I140" s="53">
        <f>+Inputs!I140</f>
        <v>320</v>
      </c>
      <c r="J140" s="257">
        <v>0</v>
      </c>
      <c r="K140" s="257">
        <v>0</v>
      </c>
      <c r="L140" s="53">
        <f>+Inputs!J140</f>
        <v>0</v>
      </c>
      <c r="M140" s="201">
        <f>+Inputs!M140</f>
        <v>129</v>
      </c>
      <c r="N140" s="53">
        <f t="shared" si="23"/>
        <v>21532085.203583106</v>
      </c>
      <c r="O140" s="37"/>
      <c r="P140"/>
      <c r="Q140"/>
      <c r="R140"/>
    </row>
    <row r="141" spans="1:18" x14ac:dyDescent="0.2">
      <c r="A141" s="3" t="str">
        <f t="shared" si="21"/>
        <v>20247</v>
      </c>
      <c r="B141" s="49">
        <f t="shared" si="22"/>
        <v>2024</v>
      </c>
      <c r="C141" s="52">
        <v>45504</v>
      </c>
      <c r="D141" s="53"/>
      <c r="E141" s="201">
        <f>+Inputs!E141</f>
        <v>1.24</v>
      </c>
      <c r="F141" s="201">
        <f>+Inputs!F141</f>
        <v>140.78500000000003</v>
      </c>
      <c r="G141" s="53">
        <f>+Inputs!G141</f>
        <v>31</v>
      </c>
      <c r="H141" s="105">
        <f t="shared" si="15"/>
        <v>0</v>
      </c>
      <c r="I141" s="53">
        <f>+Inputs!I141</f>
        <v>352</v>
      </c>
      <c r="J141" s="257">
        <v>0</v>
      </c>
      <c r="K141" s="257">
        <v>0</v>
      </c>
      <c r="L141" s="53">
        <f>+Inputs!J141</f>
        <v>0</v>
      </c>
      <c r="M141" s="201">
        <f>+Inputs!M141</f>
        <v>129</v>
      </c>
      <c r="N141" s="53">
        <f t="shared" si="23"/>
        <v>24282829.595891349</v>
      </c>
      <c r="O141" s="37"/>
      <c r="P141"/>
      <c r="Q141"/>
      <c r="R141"/>
    </row>
    <row r="142" spans="1:18" x14ac:dyDescent="0.2">
      <c r="A142" s="3" t="str">
        <f t="shared" si="21"/>
        <v>20248</v>
      </c>
      <c r="B142" s="49">
        <f t="shared" si="22"/>
        <v>2024</v>
      </c>
      <c r="C142" s="52">
        <v>45535</v>
      </c>
      <c r="D142" s="53"/>
      <c r="E142" s="201">
        <f>+Inputs!E142</f>
        <v>3.5549999999999997</v>
      </c>
      <c r="F142" s="201">
        <f>+Inputs!F142</f>
        <v>122.37</v>
      </c>
      <c r="G142" s="53">
        <f>+Inputs!G142</f>
        <v>31</v>
      </c>
      <c r="H142" s="105">
        <f t="shared" si="15"/>
        <v>0</v>
      </c>
      <c r="I142" s="53">
        <f>+Inputs!I142</f>
        <v>352</v>
      </c>
      <c r="J142" s="257">
        <v>0</v>
      </c>
      <c r="K142" s="257">
        <v>0</v>
      </c>
      <c r="L142" s="53">
        <f>+Inputs!J142</f>
        <v>0</v>
      </c>
      <c r="M142" s="201">
        <f>+Inputs!M142</f>
        <v>129</v>
      </c>
      <c r="N142" s="53">
        <f t="shared" si="23"/>
        <v>23847879.860645019</v>
      </c>
      <c r="O142" s="37"/>
      <c r="P142"/>
      <c r="Q142"/>
      <c r="R142"/>
    </row>
    <row r="143" spans="1:18" x14ac:dyDescent="0.2">
      <c r="A143" s="3" t="str">
        <f t="shared" si="21"/>
        <v>20249</v>
      </c>
      <c r="B143" s="49">
        <f t="shared" si="22"/>
        <v>2024</v>
      </c>
      <c r="C143" s="52">
        <v>45565</v>
      </c>
      <c r="D143" s="53"/>
      <c r="E143" s="201">
        <f>+Inputs!E143</f>
        <v>44.225000000000009</v>
      </c>
      <c r="F143" s="201">
        <f>+Inputs!F143</f>
        <v>50.904999999999987</v>
      </c>
      <c r="G143" s="53">
        <f>+Inputs!G143</f>
        <v>30</v>
      </c>
      <c r="H143" s="105">
        <f t="shared" si="15"/>
        <v>0.33333333333333331</v>
      </c>
      <c r="I143" s="53">
        <f>+Inputs!I143</f>
        <v>320</v>
      </c>
      <c r="J143" s="257">
        <v>0</v>
      </c>
      <c r="K143" s="257">
        <v>0</v>
      </c>
      <c r="L143" s="53">
        <f>+Inputs!J143</f>
        <v>0</v>
      </c>
      <c r="M143" s="201">
        <f>+Inputs!M143</f>
        <v>129</v>
      </c>
      <c r="N143" s="53">
        <f t="shared" si="23"/>
        <v>21384975.10237509</v>
      </c>
      <c r="O143" s="37"/>
      <c r="P143"/>
      <c r="Q143"/>
      <c r="R143"/>
    </row>
    <row r="144" spans="1:18" x14ac:dyDescent="0.2">
      <c r="A144" s="3" t="str">
        <f t="shared" si="21"/>
        <v>202410</v>
      </c>
      <c r="B144" s="49">
        <f t="shared" si="22"/>
        <v>2024</v>
      </c>
      <c r="C144" s="52">
        <v>45596</v>
      </c>
      <c r="D144" s="53"/>
      <c r="E144" s="201">
        <f>+Inputs!E144</f>
        <v>222.22000000000003</v>
      </c>
      <c r="F144" s="201">
        <f>+Inputs!F144</f>
        <v>3.3</v>
      </c>
      <c r="G144" s="53">
        <f>+Inputs!G144</f>
        <v>31</v>
      </c>
      <c r="H144" s="105">
        <f t="shared" ref="H144:H146" si="24">+H132</f>
        <v>1</v>
      </c>
      <c r="I144" s="53">
        <f>+Inputs!I144</f>
        <v>352</v>
      </c>
      <c r="J144" s="257">
        <v>0</v>
      </c>
      <c r="K144" s="257">
        <v>0</v>
      </c>
      <c r="L144" s="53">
        <f>+Inputs!J144</f>
        <v>0</v>
      </c>
      <c r="M144" s="201">
        <f>+Inputs!M144</f>
        <v>129</v>
      </c>
      <c r="N144" s="53">
        <f t="shared" si="23"/>
        <v>21675871.874221914</v>
      </c>
      <c r="O144" s="37"/>
      <c r="P144"/>
      <c r="Q144"/>
      <c r="R144"/>
    </row>
    <row r="145" spans="1:18" x14ac:dyDescent="0.2">
      <c r="A145" s="3" t="str">
        <f t="shared" si="21"/>
        <v>202411</v>
      </c>
      <c r="B145" s="49">
        <f t="shared" si="22"/>
        <v>2024</v>
      </c>
      <c r="C145" s="52">
        <v>45626</v>
      </c>
      <c r="D145" s="53"/>
      <c r="E145" s="201">
        <f>+Inputs!E145</f>
        <v>420.84500000000008</v>
      </c>
      <c r="F145" s="201">
        <f>+Inputs!F145</f>
        <v>0.09</v>
      </c>
      <c r="G145" s="53">
        <f>+Inputs!G145</f>
        <v>30</v>
      </c>
      <c r="H145" s="105">
        <f t="shared" si="24"/>
        <v>1</v>
      </c>
      <c r="I145" s="53">
        <f>+Inputs!I145</f>
        <v>336</v>
      </c>
      <c r="J145" s="257">
        <v>0</v>
      </c>
      <c r="K145" s="257">
        <v>0</v>
      </c>
      <c r="L145" s="53">
        <f>+Inputs!J145</f>
        <v>0</v>
      </c>
      <c r="M145" s="201">
        <f>+Inputs!M145</f>
        <v>129</v>
      </c>
      <c r="N145" s="53">
        <f t="shared" si="23"/>
        <v>22144674.507634297</v>
      </c>
      <c r="O145" s="37"/>
      <c r="R145"/>
    </row>
    <row r="146" spans="1:18" x14ac:dyDescent="0.2">
      <c r="A146" s="3" t="str">
        <f t="shared" si="21"/>
        <v>202412</v>
      </c>
      <c r="B146" s="49">
        <f t="shared" si="22"/>
        <v>2024</v>
      </c>
      <c r="C146" s="52">
        <v>45657</v>
      </c>
      <c r="D146" s="53"/>
      <c r="E146" s="201">
        <f>+Inputs!E146</f>
        <v>579.06000000000006</v>
      </c>
      <c r="F146" s="201">
        <f>+Inputs!F146</f>
        <v>0</v>
      </c>
      <c r="G146" s="53">
        <f>+Inputs!G146</f>
        <v>31</v>
      </c>
      <c r="H146" s="105">
        <f t="shared" si="24"/>
        <v>0.66666666666666663</v>
      </c>
      <c r="I146" s="53">
        <f>+Inputs!I146</f>
        <v>320</v>
      </c>
      <c r="J146" s="257">
        <v>0</v>
      </c>
      <c r="K146" s="257">
        <v>0</v>
      </c>
      <c r="L146" s="53">
        <f>+Inputs!J146</f>
        <v>0</v>
      </c>
      <c r="M146" s="201">
        <f>+Inputs!M146</f>
        <v>129</v>
      </c>
      <c r="N146" s="53">
        <f t="shared" si="23"/>
        <v>23477117.656629041</v>
      </c>
      <c r="O146" s="37"/>
      <c r="R146"/>
    </row>
    <row r="147" spans="1:18" x14ac:dyDescent="0.2">
      <c r="C147" s="38"/>
      <c r="G147" s="10"/>
      <c r="H147" s="106"/>
      <c r="L147" s="10"/>
      <c r="R147"/>
    </row>
    <row r="148" spans="1:18" x14ac:dyDescent="0.2">
      <c r="C148" s="38"/>
      <c r="G148" s="10"/>
      <c r="H148" s="106"/>
      <c r="L148" s="10"/>
      <c r="R148"/>
    </row>
    <row r="149" spans="1:18" x14ac:dyDescent="0.2">
      <c r="C149" s="38"/>
      <c r="E149" s="93"/>
      <c r="F149" s="67" t="s">
        <v>107</v>
      </c>
      <c r="G149" s="10"/>
      <c r="H149" s="106"/>
      <c r="L149" s="10"/>
      <c r="R149"/>
    </row>
    <row r="150" spans="1:18" x14ac:dyDescent="0.2">
      <c r="C150" s="38"/>
      <c r="E150" s="14"/>
      <c r="F150" s="66" t="s">
        <v>74</v>
      </c>
      <c r="G150" s="10"/>
      <c r="H150" s="106"/>
      <c r="L150" s="10"/>
      <c r="N150" s="37">
        <f>SUM(N2:N146)</f>
        <v>3162361806.0630388</v>
      </c>
      <c r="R150"/>
    </row>
    <row r="151" spans="1:18" x14ac:dyDescent="0.2">
      <c r="C151" s="38"/>
      <c r="G151" s="10"/>
      <c r="H151" s="106"/>
      <c r="L151" s="10"/>
      <c r="R151"/>
    </row>
    <row r="152" spans="1:18" x14ac:dyDescent="0.2">
      <c r="C152" s="29">
        <v>2013</v>
      </c>
      <c r="D152" s="6">
        <f t="shared" ref="D152:D161" si="25">SUMIF(B:B,C152,D:D)</f>
        <v>253794532.28605214</v>
      </c>
      <c r="N152" s="6">
        <f>SUM(N3:N14)</f>
        <v>251533693.58879703</v>
      </c>
      <c r="O152"/>
      <c r="P152"/>
      <c r="Q152" s="5"/>
      <c r="R152"/>
    </row>
    <row r="153" spans="1:18" x14ac:dyDescent="0.2">
      <c r="C153" s="29">
        <v>2014</v>
      </c>
      <c r="D153" s="6">
        <f t="shared" si="25"/>
        <v>256463675.28359121</v>
      </c>
      <c r="N153" s="6">
        <f>SUM(N15:N26)</f>
        <v>253556301.02569917</v>
      </c>
      <c r="O153"/>
      <c r="P153"/>
      <c r="Q153" s="5"/>
      <c r="R153"/>
    </row>
    <row r="154" spans="1:18" x14ac:dyDescent="0.2">
      <c r="C154" s="29">
        <v>2015</v>
      </c>
      <c r="D154" s="6">
        <f t="shared" si="25"/>
        <v>256374688.63650927</v>
      </c>
      <c r="N154" s="6">
        <f>SUM(N27:N38)</f>
        <v>255727922.66187942</v>
      </c>
      <c r="O154"/>
      <c r="P154"/>
      <c r="Q154" s="5"/>
      <c r="R154"/>
    </row>
    <row r="155" spans="1:18" x14ac:dyDescent="0.2">
      <c r="C155" s="29">
        <v>2016</v>
      </c>
      <c r="D155" s="6">
        <f t="shared" si="25"/>
        <v>259210018.63999999</v>
      </c>
      <c r="N155" s="6">
        <f>SUM(N39:N50)</f>
        <v>261639329.47235405</v>
      </c>
      <c r="O155"/>
      <c r="P155"/>
      <c r="Q155" s="5"/>
      <c r="R155"/>
    </row>
    <row r="156" spans="1:18" x14ac:dyDescent="0.2">
      <c r="C156" s="29">
        <v>2017</v>
      </c>
      <c r="D156" s="6">
        <f t="shared" si="25"/>
        <v>254048366.90000001</v>
      </c>
      <c r="N156" s="6">
        <f>SUM(N51:N62)</f>
        <v>258052709.48889771</v>
      </c>
      <c r="O156"/>
      <c r="P156"/>
      <c r="Q156" s="5"/>
      <c r="R156"/>
    </row>
    <row r="157" spans="1:18" x14ac:dyDescent="0.2">
      <c r="C157" s="29">
        <v>2018</v>
      </c>
      <c r="D157" s="6">
        <f t="shared" si="25"/>
        <v>266473255.97205046</v>
      </c>
      <c r="N157" s="6">
        <f>SUM(N63:N74)</f>
        <v>265791999.93549296</v>
      </c>
      <c r="O157"/>
      <c r="P157"/>
      <c r="Q157" s="5"/>
      <c r="R157"/>
    </row>
    <row r="158" spans="1:18" x14ac:dyDescent="0.2">
      <c r="C158" s="29">
        <v>2019</v>
      </c>
      <c r="D158" s="6">
        <f t="shared" si="25"/>
        <v>261985353.56</v>
      </c>
      <c r="N158" s="6">
        <f>SUM(N75:N86)</f>
        <v>264427475.99361259</v>
      </c>
      <c r="O158"/>
      <c r="P158"/>
      <c r="Q158" s="5"/>
      <c r="R158"/>
    </row>
    <row r="159" spans="1:18" x14ac:dyDescent="0.2">
      <c r="C159" s="29">
        <v>2020</v>
      </c>
      <c r="D159" s="6">
        <f t="shared" si="25"/>
        <v>263490930.20000002</v>
      </c>
      <c r="N159" s="6">
        <f>SUM(N87:N98)</f>
        <v>265846091.2069304</v>
      </c>
      <c r="O159"/>
      <c r="P159"/>
      <c r="Q159" s="5"/>
      <c r="R159"/>
    </row>
    <row r="160" spans="1:18" x14ac:dyDescent="0.2">
      <c r="C160" s="29">
        <v>2021</v>
      </c>
      <c r="D160" s="6">
        <f t="shared" si="25"/>
        <v>268727921.99999994</v>
      </c>
      <c r="N160" s="6">
        <f>SUM(N99:N110)</f>
        <v>267553382.3857789</v>
      </c>
      <c r="O160"/>
      <c r="P160"/>
      <c r="Q160" s="5"/>
      <c r="R160"/>
    </row>
    <row r="161" spans="3:20" x14ac:dyDescent="0.2">
      <c r="C161" s="29">
        <v>2022</v>
      </c>
      <c r="D161" s="6">
        <f t="shared" si="25"/>
        <v>275977471.30408913</v>
      </c>
      <c r="N161" s="6">
        <f>SUM(N111:N122)</f>
        <v>275977471.30408889</v>
      </c>
      <c r="O161"/>
      <c r="P161"/>
      <c r="Q161" s="5"/>
      <c r="R161"/>
    </row>
    <row r="162" spans="3:20" x14ac:dyDescent="0.2">
      <c r="C162" s="29">
        <v>2023</v>
      </c>
      <c r="D162" s="6">
        <f>SUM(D123:D131,N132:N134)</f>
        <v>272202985.6149742</v>
      </c>
      <c r="N162" s="16">
        <f>SUM(N123:N134)</f>
        <v>268642823.33373272</v>
      </c>
      <c r="O162"/>
      <c r="P162"/>
      <c r="Q162" s="5"/>
      <c r="R162"/>
    </row>
    <row r="163" spans="3:20" x14ac:dyDescent="0.2">
      <c r="C163" s="29">
        <v>2024</v>
      </c>
      <c r="M163" s="6"/>
      <c r="N163" s="16">
        <f>SUM(N135:N146)</f>
        <v>273612605.66577506</v>
      </c>
      <c r="O163" s="26"/>
      <c r="P163" s="5"/>
      <c r="Q163" s="5"/>
      <c r="R163"/>
    </row>
    <row r="164" spans="3:20" x14ac:dyDescent="0.2">
      <c r="N164" s="6"/>
      <c r="R164"/>
    </row>
    <row r="165" spans="3:20" x14ac:dyDescent="0.2">
      <c r="C165" s="46" t="s">
        <v>11</v>
      </c>
      <c r="D165" s="6">
        <f>SUM(D152:D162)</f>
        <v>2888749200.3972659</v>
      </c>
      <c r="N165" s="6">
        <f>SUM(N152:N162)</f>
        <v>2888749200.397264</v>
      </c>
      <c r="O165" s="37">
        <f>N165-D165</f>
        <v>0</v>
      </c>
      <c r="P165" s="1" t="s">
        <v>146</v>
      </c>
      <c r="R165" s="5"/>
      <c r="S165" s="6"/>
      <c r="T165" s="40"/>
    </row>
    <row r="166" spans="3:20" x14ac:dyDescent="0.2">
      <c r="R166" s="5"/>
      <c r="S166" s="6"/>
      <c r="T166" s="40"/>
    </row>
    <row r="167" spans="3:20" x14ac:dyDescent="0.2">
      <c r="N167" s="6">
        <f>SUM(N152:N163)</f>
        <v>3162361806.0630388</v>
      </c>
      <c r="O167" s="37">
        <f>N150-N167</f>
        <v>0</v>
      </c>
      <c r="R167" s="5"/>
      <c r="S167" s="6"/>
      <c r="T167" s="40"/>
    </row>
    <row r="168" spans="3:20" x14ac:dyDescent="0.2">
      <c r="M168" s="244"/>
      <c r="N168" s="244"/>
      <c r="O168" s="244"/>
      <c r="P168"/>
      <c r="Q168"/>
      <c r="R168" s="5"/>
      <c r="S168" s="6"/>
      <c r="T168" s="40"/>
    </row>
    <row r="169" spans="3:20" x14ac:dyDescent="0.2">
      <c r="R169" s="6"/>
      <c r="S169" s="6"/>
      <c r="T169" s="40"/>
    </row>
    <row r="170" spans="3:20" x14ac:dyDescent="0.2">
      <c r="R170" s="6"/>
      <c r="S170" s="6"/>
      <c r="T170" s="40"/>
    </row>
    <row r="171" spans="3:20" x14ac:dyDescent="0.2">
      <c r="C171"/>
      <c r="D171"/>
      <c r="E171"/>
      <c r="F171"/>
      <c r="G171"/>
      <c r="I171"/>
      <c r="J171"/>
      <c r="K171"/>
      <c r="L171"/>
      <c r="M171"/>
      <c r="N171"/>
      <c r="O171"/>
      <c r="S171" s="6"/>
      <c r="T171" s="40"/>
    </row>
    <row r="172" spans="3:20" x14ac:dyDescent="0.2">
      <c r="C172"/>
      <c r="D172"/>
      <c r="E172"/>
      <c r="F172"/>
      <c r="G172"/>
      <c r="I172"/>
      <c r="J172"/>
      <c r="K172"/>
      <c r="L172"/>
      <c r="M172"/>
      <c r="N172"/>
      <c r="O172"/>
      <c r="S172" s="6"/>
      <c r="T172" s="40"/>
    </row>
    <row r="173" spans="3:20" x14ac:dyDescent="0.2">
      <c r="C173"/>
      <c r="D173"/>
      <c r="E173"/>
      <c r="F173"/>
      <c r="G173"/>
      <c r="I173"/>
      <c r="J173"/>
      <c r="K173"/>
      <c r="L173"/>
      <c r="M173"/>
      <c r="N173"/>
      <c r="O173"/>
    </row>
    <row r="174" spans="3:20" x14ac:dyDescent="0.2">
      <c r="C174"/>
      <c r="D174"/>
      <c r="E174"/>
      <c r="F174"/>
      <c r="G174"/>
      <c r="I174"/>
      <c r="J174"/>
      <c r="K174"/>
      <c r="L174"/>
      <c r="M174"/>
      <c r="N174"/>
      <c r="O174"/>
    </row>
    <row r="175" spans="3:20" x14ac:dyDescent="0.2">
      <c r="C175"/>
      <c r="D175"/>
      <c r="E175"/>
      <c r="F175"/>
      <c r="G175"/>
      <c r="I175"/>
      <c r="J175"/>
      <c r="K175"/>
      <c r="L175"/>
      <c r="M175"/>
      <c r="N175"/>
      <c r="O175"/>
    </row>
    <row r="176" spans="3:20" x14ac:dyDescent="0.2">
      <c r="C176"/>
      <c r="D176"/>
      <c r="E176"/>
      <c r="F176"/>
      <c r="G176"/>
      <c r="I176"/>
      <c r="J176"/>
      <c r="K176"/>
      <c r="L176"/>
      <c r="M176"/>
      <c r="N176"/>
      <c r="O176"/>
    </row>
    <row r="177" spans="3:18" x14ac:dyDescent="0.2">
      <c r="C177"/>
      <c r="D177"/>
      <c r="E177"/>
      <c r="F177"/>
      <c r="G177"/>
      <c r="I177"/>
      <c r="J177"/>
      <c r="K177"/>
      <c r="L177"/>
      <c r="M177"/>
      <c r="N177"/>
      <c r="O177"/>
    </row>
    <row r="178" spans="3:18" x14ac:dyDescent="0.2">
      <c r="C178"/>
      <c r="D178"/>
      <c r="E178"/>
      <c r="F178"/>
      <c r="G178"/>
      <c r="I178"/>
      <c r="J178"/>
      <c r="K178"/>
      <c r="L178"/>
      <c r="M178"/>
      <c r="N178"/>
      <c r="O178"/>
    </row>
    <row r="179" spans="3:18" x14ac:dyDescent="0.2">
      <c r="C179"/>
      <c r="D179"/>
      <c r="E179"/>
      <c r="F179"/>
      <c r="G179"/>
      <c r="I179"/>
      <c r="J179"/>
      <c r="K179"/>
      <c r="L179"/>
      <c r="M179"/>
      <c r="N179"/>
      <c r="O179"/>
      <c r="P179"/>
      <c r="Q179"/>
      <c r="R179"/>
    </row>
    <row r="180" spans="3:18" x14ac:dyDescent="0.2">
      <c r="C180"/>
      <c r="D180"/>
      <c r="E180"/>
      <c r="F180"/>
      <c r="G180"/>
      <c r="I180"/>
      <c r="J180"/>
      <c r="K180"/>
      <c r="L180"/>
      <c r="M180"/>
      <c r="N180"/>
      <c r="O180"/>
      <c r="P180"/>
      <c r="Q180"/>
      <c r="R180"/>
    </row>
    <row r="181" spans="3:18" x14ac:dyDescent="0.2">
      <c r="C181"/>
      <c r="D181"/>
      <c r="E181"/>
      <c r="F181"/>
      <c r="G181"/>
      <c r="I181"/>
      <c r="J181"/>
      <c r="K181"/>
      <c r="L181"/>
      <c r="M181"/>
      <c r="N181"/>
      <c r="O181"/>
      <c r="P181"/>
      <c r="Q181"/>
      <c r="R181"/>
    </row>
    <row r="182" spans="3:18" x14ac:dyDescent="0.2">
      <c r="C182"/>
      <c r="D182"/>
      <c r="E182"/>
      <c r="F182"/>
      <c r="G182"/>
      <c r="I182"/>
      <c r="J182"/>
      <c r="K182"/>
      <c r="L182"/>
      <c r="M182"/>
      <c r="N182"/>
      <c r="O182"/>
      <c r="P182"/>
      <c r="Q182"/>
      <c r="R182"/>
    </row>
    <row r="183" spans="3:18" x14ac:dyDescent="0.2">
      <c r="C183"/>
      <c r="D183"/>
      <c r="E183"/>
      <c r="F183"/>
      <c r="G183"/>
      <c r="I183"/>
      <c r="J183"/>
      <c r="K183"/>
      <c r="L183"/>
      <c r="M183"/>
      <c r="N183"/>
      <c r="O183"/>
      <c r="P183"/>
      <c r="Q183"/>
      <c r="R183"/>
    </row>
    <row r="184" spans="3:18" x14ac:dyDescent="0.2">
      <c r="C184"/>
      <c r="P184"/>
      <c r="Q184"/>
      <c r="R184"/>
    </row>
    <row r="185" spans="3:18" x14ac:dyDescent="0.2">
      <c r="C185"/>
      <c r="P185"/>
      <c r="Q185"/>
      <c r="R185"/>
    </row>
    <row r="186" spans="3:18" x14ac:dyDescent="0.2">
      <c r="C186"/>
      <c r="P186"/>
      <c r="Q186"/>
      <c r="R186"/>
    </row>
    <row r="187" spans="3:18" x14ac:dyDescent="0.2">
      <c r="C187"/>
      <c r="P187"/>
      <c r="Q187"/>
      <c r="R187"/>
    </row>
    <row r="188" spans="3:18" x14ac:dyDescent="0.2">
      <c r="C188"/>
      <c r="P188"/>
      <c r="Q188"/>
      <c r="R188"/>
    </row>
    <row r="189" spans="3:18" x14ac:dyDescent="0.2">
      <c r="C189"/>
      <c r="P189"/>
      <c r="Q189"/>
      <c r="R189"/>
    </row>
    <row r="190" spans="3:18" x14ac:dyDescent="0.2">
      <c r="C190"/>
      <c r="P190"/>
      <c r="Q190"/>
      <c r="R190"/>
    </row>
    <row r="191" spans="3:18" x14ac:dyDescent="0.2">
      <c r="C191"/>
      <c r="P191"/>
      <c r="Q191"/>
      <c r="R191"/>
    </row>
    <row r="192" spans="3:18" x14ac:dyDescent="0.2">
      <c r="C192"/>
      <c r="P192"/>
      <c r="Q192"/>
      <c r="R192"/>
    </row>
    <row r="193" spans="3:18" x14ac:dyDescent="0.2">
      <c r="C193"/>
      <c r="P193"/>
      <c r="Q193"/>
      <c r="R193"/>
    </row>
    <row r="194" spans="3:18" x14ac:dyDescent="0.2">
      <c r="C194"/>
      <c r="P194"/>
      <c r="Q194"/>
      <c r="R194"/>
    </row>
    <row r="195" spans="3:18" customFormat="1" x14ac:dyDescent="0.2">
      <c r="H195" s="103"/>
    </row>
    <row r="196" spans="3:18" customFormat="1" x14ac:dyDescent="0.2">
      <c r="H196" s="103"/>
    </row>
  </sheetData>
  <mergeCells count="1">
    <mergeCell ref="M168:O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1:U62"/>
  <sheetViews>
    <sheetView zoomScale="93" zoomScaleNormal="93" workbookViewId="0">
      <pane xSplit="2" ySplit="2" topLeftCell="C18" activePane="bottomRight" state="frozen"/>
      <selection activeCell="A170" sqref="A170:XFD185"/>
      <selection pane="topRight" activeCell="A170" sqref="A170:XFD185"/>
      <selection pane="bottomLeft" activeCell="A170" sqref="A170:XFD185"/>
      <selection pane="bottomRight" activeCell="O44" sqref="O44"/>
    </sheetView>
  </sheetViews>
  <sheetFormatPr defaultRowHeight="12.75" x14ac:dyDescent="0.2"/>
  <cols>
    <col min="1" max="1" width="21.5703125" customWidth="1"/>
    <col min="2" max="5" width="18" style="1" customWidth="1"/>
    <col min="6" max="6" width="31.85546875" style="1" customWidth="1"/>
    <col min="7" max="7" width="15.5703125" style="6" customWidth="1"/>
    <col min="8" max="8" width="15" style="6" customWidth="1"/>
    <col min="9" max="10" width="14.140625" style="6" bestFit="1" customWidth="1"/>
    <col min="11" max="11" width="11.42578125" style="6" customWidth="1"/>
    <col min="12" max="12" width="12.42578125" style="6" customWidth="1"/>
    <col min="13" max="13" width="16.85546875" style="6" bestFit="1" customWidth="1"/>
    <col min="14" max="15" width="16.85546875" customWidth="1"/>
    <col min="16" max="16" width="14.42578125" customWidth="1"/>
    <col min="17" max="17" width="12.5703125" bestFit="1" customWidth="1"/>
    <col min="18" max="18" width="11.5703125" bestFit="1" customWidth="1"/>
    <col min="19" max="19" width="14" customWidth="1"/>
    <col min="20" max="20" width="10.140625" bestFit="1" customWidth="1"/>
    <col min="21" max="21" width="12.5703125" style="6" bestFit="1" customWidth="1"/>
  </cols>
  <sheetData>
    <row r="1" spans="1:21" x14ac:dyDescent="0.2">
      <c r="G1" s="108" t="s">
        <v>261</v>
      </c>
    </row>
    <row r="2" spans="1:21" ht="25.5" x14ac:dyDescent="0.2">
      <c r="B2" s="2" t="s">
        <v>8</v>
      </c>
      <c r="C2" s="2" t="s">
        <v>9</v>
      </c>
      <c r="D2" s="2" t="s">
        <v>40</v>
      </c>
      <c r="E2" s="2" t="s">
        <v>10</v>
      </c>
      <c r="F2" s="2" t="s">
        <v>0</v>
      </c>
      <c r="G2" s="7" t="s">
        <v>3</v>
      </c>
      <c r="H2" s="34" t="s">
        <v>1</v>
      </c>
      <c r="I2" s="35" t="s">
        <v>56</v>
      </c>
      <c r="J2" s="51" t="s">
        <v>57</v>
      </c>
      <c r="K2" s="36" t="s">
        <v>59</v>
      </c>
      <c r="L2" s="36" t="s">
        <v>68</v>
      </c>
      <c r="M2" s="36" t="s">
        <v>2</v>
      </c>
    </row>
    <row r="3" spans="1:21" x14ac:dyDescent="0.2">
      <c r="A3">
        <v>2013</v>
      </c>
      <c r="B3" s="108">
        <f>+'Purchased Power Model'!D152</f>
        <v>253794532.28605214</v>
      </c>
      <c r="C3" s="108">
        <f>+'Purchased Power Model'!N152</f>
        <v>251533693.58879703</v>
      </c>
      <c r="D3" s="26">
        <f t="shared" ref="D3:D12" si="0">C3-B3</f>
        <v>-2260838.6972551048</v>
      </c>
      <c r="E3" s="5">
        <f t="shared" ref="E3:E12" si="1">D3/B3</f>
        <v>-8.9081458016081715E-3</v>
      </c>
      <c r="F3" s="18">
        <f>1 +(B3-G3)/G3</f>
        <v>1.03699515841405</v>
      </c>
      <c r="G3" s="6">
        <f t="shared" ref="G3:G12" si="2">SUM(H3:M3)</f>
        <v>244740325.18550813</v>
      </c>
      <c r="H3" s="42">
        <f>SUMIF(Inputs!B:B,'Rate Class Energy Model'!A3,Inputs!P:P)</f>
        <v>86202261.746603757</v>
      </c>
      <c r="I3" s="42">
        <f>SUMIF(Inputs!B:B,'Rate Class Energy Model'!A3,Inputs!R:R)</f>
        <v>36449901.791789994</v>
      </c>
      <c r="J3" s="42">
        <f>SUMIF(Inputs!B:B,'Rate Class Energy Model'!A3,Inputs!T:T)</f>
        <v>119884762.44284</v>
      </c>
      <c r="K3" s="42">
        <f>SUMIF(Inputs!B:B,'Rate Class Energy Model'!A3,Inputs!W:W)</f>
        <v>1712978.1604808702</v>
      </c>
      <c r="L3" s="42">
        <f>SUMIF(Inputs!B:B,'Rate Class Energy Model'!A3,Inputs!Z:Z)</f>
        <v>106011.51098813729</v>
      </c>
      <c r="M3" s="42">
        <f>SUMIF(Inputs!B:B,'Rate Class Energy Model'!A3,Inputs!AC:AC)</f>
        <v>384409.53280539409</v>
      </c>
      <c r="N3" s="40">
        <f>+B3-G3</f>
        <v>9054207.1005440056</v>
      </c>
    </row>
    <row r="4" spans="1:21" x14ac:dyDescent="0.2">
      <c r="A4">
        <v>2014</v>
      </c>
      <c r="B4" s="108">
        <f>+'Purchased Power Model'!D153</f>
        <v>256463675.28359121</v>
      </c>
      <c r="C4" s="108">
        <f>+'Purchased Power Model'!N153</f>
        <v>253556301.02569917</v>
      </c>
      <c r="D4" s="26">
        <f t="shared" si="0"/>
        <v>-2907374.2578920424</v>
      </c>
      <c r="E4" s="5">
        <f t="shared" si="1"/>
        <v>-1.1336397853135106E-2</v>
      </c>
      <c r="F4" s="18">
        <f t="shared" ref="F4" si="3">1 +(B4-G4)/G4</f>
        <v>1.0405176283958131</v>
      </c>
      <c r="G4" s="6">
        <f t="shared" si="2"/>
        <v>246477011.33039564</v>
      </c>
      <c r="H4" s="42">
        <f>SUMIF(Inputs!B:B,'Rate Class Energy Model'!A4,Inputs!P:P)</f>
        <v>85816558.384570569</v>
      </c>
      <c r="I4" s="42">
        <f>SUMIF(Inputs!B:B,'Rate Class Energy Model'!A4,Inputs!R:R)</f>
        <v>35415553.049546637</v>
      </c>
      <c r="J4" s="42">
        <f>SUMIF(Inputs!B:B,'Rate Class Energy Model'!A4,Inputs!T:T)</f>
        <v>123021881.80449331</v>
      </c>
      <c r="K4" s="42">
        <f>SUMIF(Inputs!B:B,'Rate Class Energy Model'!A4,Inputs!W:W)</f>
        <v>1731641.5322965365</v>
      </c>
      <c r="L4" s="42">
        <f>SUMIF(Inputs!B:B,'Rate Class Energy Model'!A4,Inputs!Z:Z)</f>
        <v>105133.19775921054</v>
      </c>
      <c r="M4" s="42">
        <f>SUMIF(Inputs!B:B,'Rate Class Energy Model'!A4,Inputs!AC:AC)</f>
        <v>386243.36172938795</v>
      </c>
      <c r="N4" s="40">
        <f t="shared" ref="N4:N13" si="4">+B4-G4</f>
        <v>9986663.9531955719</v>
      </c>
    </row>
    <row r="5" spans="1:21" x14ac:dyDescent="0.2">
      <c r="A5" s="49">
        <f>+A4+1</f>
        <v>2015</v>
      </c>
      <c r="B5" s="108">
        <f>+'Purchased Power Model'!D154</f>
        <v>256374688.63650927</v>
      </c>
      <c r="C5" s="108">
        <f>+'Purchased Power Model'!N154</f>
        <v>255727922.66187942</v>
      </c>
      <c r="D5" s="26">
        <f t="shared" si="0"/>
        <v>-646765.9746298492</v>
      </c>
      <c r="E5" s="5">
        <f t="shared" si="1"/>
        <v>-2.522737240831293E-3</v>
      </c>
      <c r="F5" s="18">
        <f>1 +(B5-G5)/G5</f>
        <v>1.0401565941182955</v>
      </c>
      <c r="G5" s="6">
        <f t="shared" si="2"/>
        <v>246477011.33292255</v>
      </c>
      <c r="H5" s="42">
        <f>SUMIF(Inputs!B:B,'Rate Class Energy Model'!A5,Inputs!P:P)</f>
        <v>85926418.71876052</v>
      </c>
      <c r="I5" s="42">
        <f>SUMIF(Inputs!B:B,'Rate Class Energy Model'!A5,Inputs!R:R)</f>
        <v>34168176.853738427</v>
      </c>
      <c r="J5" s="42">
        <f>SUMIF(Inputs!B:B,'Rate Class Energy Model'!A5,Inputs!T:T)</f>
        <v>124266046.18177828</v>
      </c>
      <c r="K5" s="42">
        <f>SUMIF(Inputs!B:B,'Rate Class Energy Model'!A5,Inputs!W:W)</f>
        <v>1629825.7799828262</v>
      </c>
      <c r="L5" s="42">
        <f>SUMIF(Inputs!B:B,'Rate Class Energy Model'!A5,Inputs!Z:Z)</f>
        <v>104029.99681696936</v>
      </c>
      <c r="M5" s="42">
        <f>SUMIF(Inputs!B:B,'Rate Class Energy Model'!A5,Inputs!AC:AC)</f>
        <v>382513.80184551654</v>
      </c>
      <c r="N5" s="40">
        <f t="shared" si="4"/>
        <v>9897677.3035867214</v>
      </c>
    </row>
    <row r="6" spans="1:21" x14ac:dyDescent="0.2">
      <c r="A6" s="49">
        <f t="shared" ref="A6:A15" si="5">+A5+1</f>
        <v>2016</v>
      </c>
      <c r="B6" s="108">
        <f>+'Purchased Power Model'!D155</f>
        <v>259210018.63999999</v>
      </c>
      <c r="C6" s="108">
        <f>+'Purchased Power Model'!N155</f>
        <v>261639329.47235405</v>
      </c>
      <c r="D6" s="26">
        <f t="shared" si="0"/>
        <v>2429310.8323540688</v>
      </c>
      <c r="E6" s="5">
        <f t="shared" si="1"/>
        <v>9.3719789269718825E-3</v>
      </c>
      <c r="F6" s="18">
        <f t="shared" ref="F6:F12" si="6">1 +(B6-G6)/G6</f>
        <v>1.0429290113286542</v>
      </c>
      <c r="G6" s="6">
        <f t="shared" si="2"/>
        <v>248540423.96402004</v>
      </c>
      <c r="H6" s="42">
        <f>SUMIF(Inputs!B:B,'Rate Class Energy Model'!A6,Inputs!P:P)</f>
        <v>86214190.382619157</v>
      </c>
      <c r="I6" s="42">
        <f>SUMIF(Inputs!B:B,'Rate Class Energy Model'!A6,Inputs!R:R)</f>
        <v>34455638.026827835</v>
      </c>
      <c r="J6" s="42">
        <f>SUMIF(Inputs!B:B,'Rate Class Energy Model'!A6,Inputs!T:T)</f>
        <v>126472988.41207671</v>
      </c>
      <c r="K6" s="42">
        <f>SUMIF(Inputs!B:B,'Rate Class Energy Model'!A6,Inputs!W:W)</f>
        <v>890659.09741436888</v>
      </c>
      <c r="L6" s="42">
        <f>SUMIF(Inputs!B:B,'Rate Class Energy Model'!A6,Inputs!Z:Z)</f>
        <v>105564.9286945004</v>
      </c>
      <c r="M6" s="42">
        <f>SUMIF(Inputs!B:B,'Rate Class Energy Model'!A6,Inputs!AC:AC)</f>
        <v>401383.11638747668</v>
      </c>
      <c r="N6" s="40">
        <f t="shared" si="4"/>
        <v>10669594.675979942</v>
      </c>
    </row>
    <row r="7" spans="1:21" x14ac:dyDescent="0.2">
      <c r="A7" s="49">
        <f t="shared" si="5"/>
        <v>2017</v>
      </c>
      <c r="B7" s="108">
        <f>+'Purchased Power Model'!D156</f>
        <v>254048366.90000001</v>
      </c>
      <c r="C7" s="108">
        <f>+'Purchased Power Model'!N156</f>
        <v>258052709.48889771</v>
      </c>
      <c r="D7" s="26">
        <f t="shared" si="0"/>
        <v>4004342.5888977051</v>
      </c>
      <c r="E7" s="5">
        <f t="shared" si="1"/>
        <v>1.576212686489702E-2</v>
      </c>
      <c r="F7" s="18">
        <f t="shared" si="6"/>
        <v>1.0385680366512824</v>
      </c>
      <c r="G7" s="6">
        <f t="shared" si="2"/>
        <v>244614082.01926133</v>
      </c>
      <c r="H7" s="42">
        <f>SUMIF(Inputs!B:B,'Rate Class Energy Model'!A7,Inputs!P:P)</f>
        <v>83878663.289841563</v>
      </c>
      <c r="I7" s="42">
        <f>SUMIF(Inputs!B:B,'Rate Class Energy Model'!A7,Inputs!R:R)</f>
        <v>34387085.601475</v>
      </c>
      <c r="J7" s="42">
        <f>SUMIF(Inputs!B:B,'Rate Class Energy Model'!A7,Inputs!T:T)</f>
        <v>125001047.73669259</v>
      </c>
      <c r="K7" s="42">
        <f>SUMIF(Inputs!B:B,'Rate Class Energy Model'!A7,Inputs!W:W)</f>
        <v>863294.61883408076</v>
      </c>
      <c r="L7" s="42">
        <f>SUMIF(Inputs!B:B,'Rate Class Energy Model'!A7,Inputs!Z:Z)</f>
        <v>103381.18500143119</v>
      </c>
      <c r="M7" s="42">
        <f>SUMIF(Inputs!B:B,'Rate Class Energy Model'!A7,Inputs!AC:AC)</f>
        <v>380609.58741668583</v>
      </c>
      <c r="N7" s="40">
        <f t="shared" si="4"/>
        <v>9434284.8807386756</v>
      </c>
    </row>
    <row r="8" spans="1:21" x14ac:dyDescent="0.2">
      <c r="A8" s="49">
        <f t="shared" si="5"/>
        <v>2018</v>
      </c>
      <c r="B8" s="108">
        <f>+'Purchased Power Model'!D157</f>
        <v>266473255.97205046</v>
      </c>
      <c r="C8" s="108">
        <f>+'Purchased Power Model'!N157</f>
        <v>265791999.93549296</v>
      </c>
      <c r="D8" s="26">
        <f t="shared" si="0"/>
        <v>-681256.03655749559</v>
      </c>
      <c r="E8" s="5">
        <f t="shared" si="1"/>
        <v>-2.5565643879434954E-3</v>
      </c>
      <c r="F8" s="18">
        <f>1 +(B8-G8)/G8</f>
        <v>1.0378771832690661</v>
      </c>
      <c r="G8" s="6">
        <f t="shared" si="2"/>
        <v>256748351.60430366</v>
      </c>
      <c r="H8" s="42">
        <f>SUMIF(Inputs!B:B,'Rate Class Energy Model'!A8,Inputs!P:P)</f>
        <v>91709432.73716554</v>
      </c>
      <c r="I8" s="42">
        <f>SUMIF(Inputs!B:B,'Rate Class Energy Model'!A8,Inputs!R:R)</f>
        <v>35759952.621808477</v>
      </c>
      <c r="J8" s="42">
        <f>SUMIF(Inputs!B:B,'Rate Class Energy Model'!A8,Inputs!T:T)</f>
        <v>127930297.35877302</v>
      </c>
      <c r="K8" s="42">
        <f>SUMIF(Inputs!B:B,'Rate Class Energy Model'!A8,Inputs!W:W)</f>
        <v>870905.41933021648</v>
      </c>
      <c r="L8" s="42">
        <f>SUMIF(Inputs!B:B,'Rate Class Energy Model'!A8,Inputs!Z:Z)</f>
        <v>102424.28203415705</v>
      </c>
      <c r="M8" s="42">
        <f>SUMIF(Inputs!B:B,'Rate Class Energy Model'!A8,Inputs!AC:AC)</f>
        <v>375339.18519225245</v>
      </c>
      <c r="N8" s="40">
        <f t="shared" si="4"/>
        <v>9724904.3677468002</v>
      </c>
    </row>
    <row r="9" spans="1:21" x14ac:dyDescent="0.2">
      <c r="A9" s="49">
        <f t="shared" si="5"/>
        <v>2019</v>
      </c>
      <c r="B9" s="108">
        <f>+'Purchased Power Model'!D158</f>
        <v>261985353.56</v>
      </c>
      <c r="C9" s="108">
        <f>+'Purchased Power Model'!N158</f>
        <v>264427475.99361259</v>
      </c>
      <c r="D9" s="26">
        <f t="shared" si="0"/>
        <v>2442122.4336125851</v>
      </c>
      <c r="E9" s="5">
        <f t="shared" si="1"/>
        <v>9.3215990910472373E-3</v>
      </c>
      <c r="F9" s="18">
        <f t="shared" si="6"/>
        <v>1.0366380056347</v>
      </c>
      <c r="G9" s="6">
        <f t="shared" si="2"/>
        <v>252725977.76269531</v>
      </c>
      <c r="H9" s="42">
        <f>SUMIF(Inputs!B:B,'Rate Class Energy Model'!A9,Inputs!P:P)</f>
        <v>89180443.270875081</v>
      </c>
      <c r="I9" s="42">
        <f>SUMIF(Inputs!B:B,'Rate Class Energy Model'!A9,Inputs!R:R)</f>
        <v>34942744.746606827</v>
      </c>
      <c r="J9" s="42">
        <f>SUMIF(Inputs!B:B,'Rate Class Energy Model'!A9,Inputs!T:T)</f>
        <v>127241231.81181008</v>
      </c>
      <c r="K9" s="42">
        <f>SUMIF(Inputs!B:B,'Rate Class Energy Model'!A9,Inputs!W:W)</f>
        <v>883464.17326590978</v>
      </c>
      <c r="L9" s="42">
        <f>SUMIF(Inputs!B:B,'Rate Class Energy Model'!A9,Inputs!Z:Z)</f>
        <v>102754.57494513884</v>
      </c>
      <c r="M9" s="42">
        <f>SUMIF(Inputs!B:B,'Rate Class Energy Model'!A9,Inputs!AC:AC)</f>
        <v>375339.18519225245</v>
      </c>
      <c r="N9" s="40">
        <f t="shared" si="4"/>
        <v>9259375.7973046899</v>
      </c>
    </row>
    <row r="10" spans="1:21" x14ac:dyDescent="0.2">
      <c r="A10" s="49">
        <f t="shared" si="5"/>
        <v>2020</v>
      </c>
      <c r="B10" s="108">
        <f>+'Purchased Power Model'!D159</f>
        <v>263490930.20000002</v>
      </c>
      <c r="C10" s="108">
        <f>+'Purchased Power Model'!N159</f>
        <v>265846091.2069304</v>
      </c>
      <c r="D10" s="26">
        <f t="shared" si="0"/>
        <v>2355161.0069303811</v>
      </c>
      <c r="E10" s="5">
        <f t="shared" si="1"/>
        <v>8.9383000968675502E-3</v>
      </c>
      <c r="F10" s="18">
        <f t="shared" si="6"/>
        <v>1.0359502750252469</v>
      </c>
      <c r="G10" s="6">
        <f t="shared" si="2"/>
        <v>254347082.62766621</v>
      </c>
      <c r="H10" s="42">
        <f>SUMIF(Inputs!B:B,'Rate Class Energy Model'!A10,Inputs!P:P)</f>
        <v>95587067.984431669</v>
      </c>
      <c r="I10" s="42">
        <f>SUMIF(Inputs!B:B,'Rate Class Energy Model'!A10,Inputs!R:R)</f>
        <v>33629605.964253612</v>
      </c>
      <c r="J10" s="42">
        <f>SUMIF(Inputs!B:B,'Rate Class Energy Model'!A10,Inputs!T:T)</f>
        <v>123770623.32453001</v>
      </c>
      <c r="K10" s="42">
        <f>SUMIF(Inputs!B:B,'Rate Class Energy Model'!A10,Inputs!W:W)</f>
        <v>881690.64974716154</v>
      </c>
      <c r="L10" s="42">
        <f>SUMIF(Inputs!B:B,'Rate Class Energy Model'!A10,Inputs!Z:Z)</f>
        <v>102755.519511497</v>
      </c>
      <c r="M10" s="42">
        <f>SUMIF(Inputs!B:B,'Rate Class Energy Model'!A10,Inputs!AC:AC)</f>
        <v>375339.18519225245</v>
      </c>
      <c r="N10" s="40">
        <f t="shared" si="4"/>
        <v>9143847.5723338127</v>
      </c>
    </row>
    <row r="11" spans="1:21" x14ac:dyDescent="0.2">
      <c r="A11" s="49">
        <f t="shared" si="5"/>
        <v>2021</v>
      </c>
      <c r="B11" s="108">
        <f>+'Purchased Power Model'!D160</f>
        <v>268727921.99999994</v>
      </c>
      <c r="C11" s="108">
        <f>+'Purchased Power Model'!N160</f>
        <v>267553382.3857789</v>
      </c>
      <c r="D11" s="26">
        <f t="shared" si="0"/>
        <v>-1174539.6142210364</v>
      </c>
      <c r="E11" s="5">
        <f t="shared" si="1"/>
        <v>-4.3707390191520057E-3</v>
      </c>
      <c r="F11" s="18">
        <f>1 +(B11-G11)/G11</f>
        <v>1.0306815415721391</v>
      </c>
      <c r="G11" s="6">
        <f t="shared" si="2"/>
        <v>260728373.56735688</v>
      </c>
      <c r="H11" s="42">
        <f>SUMIF(Inputs!B:B,'Rate Class Energy Model'!A11,Inputs!P:P)</f>
        <v>95087325.556198344</v>
      </c>
      <c r="I11" s="42">
        <f>SUMIF(Inputs!B:B,'Rate Class Energy Model'!A11,Inputs!R:R)</f>
        <v>33533529.262311421</v>
      </c>
      <c r="J11" s="42">
        <f>SUMIF(Inputs!B:B,'Rate Class Energy Model'!A11,Inputs!T:T)</f>
        <v>130759586.91982318</v>
      </c>
      <c r="K11" s="42">
        <f>SUMIF(Inputs!B:B,'Rate Class Energy Model'!A11,Inputs!W:W)</f>
        <v>870117.8322679135</v>
      </c>
      <c r="L11" s="42">
        <f>SUMIF(Inputs!B:B,'Rate Class Energy Model'!A11,Inputs!Z:Z)</f>
        <v>102474.81156378207</v>
      </c>
      <c r="M11" s="42">
        <f>SUMIF(Inputs!B:B,'Rate Class Energy Model'!A11,Inputs!AC:AC)</f>
        <v>375339.18519225245</v>
      </c>
      <c r="N11" s="40">
        <f t="shared" si="4"/>
        <v>7999548.4326430559</v>
      </c>
    </row>
    <row r="12" spans="1:21" x14ac:dyDescent="0.2">
      <c r="A12" s="49">
        <f t="shared" si="5"/>
        <v>2022</v>
      </c>
      <c r="B12" s="108">
        <f>+'Purchased Power Model'!D161</f>
        <v>275977471.30408913</v>
      </c>
      <c r="C12" s="108">
        <f>+'Purchased Power Model'!N161</f>
        <v>275977471.30408889</v>
      </c>
      <c r="D12" s="26">
        <f t="shared" si="0"/>
        <v>0</v>
      </c>
      <c r="E12" s="5">
        <f t="shared" si="1"/>
        <v>0</v>
      </c>
      <c r="F12" s="18">
        <f t="shared" si="6"/>
        <v>1.029317526201962</v>
      </c>
      <c r="G12" s="6">
        <f t="shared" si="2"/>
        <v>268116945.72267458</v>
      </c>
      <c r="H12" s="42">
        <f>SUMIF(Inputs!B:B,'Rate Class Energy Model'!A12,Inputs!P:P)</f>
        <v>95371627.720710099</v>
      </c>
      <c r="I12" s="42">
        <f>SUMIF(Inputs!B:B,'Rate Class Energy Model'!A12,Inputs!R:R)</f>
        <v>35235863.474724725</v>
      </c>
      <c r="J12" s="42">
        <f>SUMIF(Inputs!B:B,'Rate Class Energy Model'!A12,Inputs!T:T)</f>
        <v>136159366.09102184</v>
      </c>
      <c r="K12" s="42">
        <f>SUMIF(Inputs!B:B,'Rate Class Energy Model'!A12,Inputs!W:W)</f>
        <v>875006.27802690573</v>
      </c>
      <c r="L12" s="42">
        <f>SUMIF(Inputs!B:B,'Rate Class Energy Model'!A12,Inputs!Z:Z)</f>
        <v>99742.972998759651</v>
      </c>
      <c r="M12" s="42">
        <f>SUMIF(Inputs!B:B,'Rate Class Energy Model'!A12,Inputs!AC:AC)</f>
        <v>375339.18519225251</v>
      </c>
      <c r="N12" s="40">
        <f t="shared" si="4"/>
        <v>7860525.5814145505</v>
      </c>
    </row>
    <row r="13" spans="1:21" x14ac:dyDescent="0.2">
      <c r="A13" s="229" t="s">
        <v>279</v>
      </c>
      <c r="B13" s="230">
        <f>SUM('Purchased Power Model'!D120:D131)</f>
        <v>272332442.66205055</v>
      </c>
      <c r="C13" s="230">
        <f>SUM('Purchased Power Model'!N120:N131)</f>
        <v>269218937.49136013</v>
      </c>
      <c r="D13" s="230">
        <f t="shared" ref="D13" si="7">C13-B13</f>
        <v>-3113505.1706904173</v>
      </c>
      <c r="E13" s="231">
        <f t="shared" ref="E13" si="8">D13/B13</f>
        <v>-1.1432736916159873E-2</v>
      </c>
      <c r="F13" s="232">
        <f t="shared" ref="F13" si="9">1 +(B13-G13)/G13</f>
        <v>1.0388777186999574</v>
      </c>
      <c r="G13" s="230">
        <f t="shared" ref="G13" si="10">SUM(H13:M13)</f>
        <v>262140998.65655512</v>
      </c>
      <c r="H13" s="230">
        <f>SUM(Inputs!P120:P131)</f>
        <v>92619531.241366655</v>
      </c>
      <c r="I13" s="230">
        <f>SUM(Inputs!R120:R131)</f>
        <v>34919093.891669683</v>
      </c>
      <c r="J13" s="230">
        <f>SUM(Inputs!T120:T131)</f>
        <v>133265101.75555767</v>
      </c>
      <c r="K13" s="230">
        <f>SUM(Inputs!W120:W131)</f>
        <v>866677.09188054549</v>
      </c>
      <c r="L13" s="230">
        <f>SUM(Inputs!Z120:Z131)</f>
        <v>99127.487835130218</v>
      </c>
      <c r="M13" s="230">
        <f>SUM(Inputs!AC120:AC131)</f>
        <v>371467.18824539625</v>
      </c>
      <c r="N13" s="229">
        <f t="shared" si="4"/>
        <v>10191444.005495429</v>
      </c>
      <c r="O13" s="233" t="s">
        <v>280</v>
      </c>
    </row>
    <row r="14" spans="1:21" x14ac:dyDescent="0.2">
      <c r="A14" s="49">
        <f>+A12+1</f>
        <v>2023</v>
      </c>
      <c r="B14" s="6"/>
      <c r="C14" s="16">
        <f>+'Purchased Power Model'!N162</f>
        <v>268642823.33373272</v>
      </c>
      <c r="G14" s="16">
        <f>C14/$F$17</f>
        <v>259066908.31541246</v>
      </c>
      <c r="H14"/>
      <c r="I14"/>
      <c r="J14"/>
      <c r="K14"/>
      <c r="L14"/>
      <c r="M14"/>
      <c r="N14" s="40">
        <f>+C14-G14</f>
        <v>9575915.0183202624</v>
      </c>
    </row>
    <row r="15" spans="1:21" x14ac:dyDescent="0.2">
      <c r="A15" s="49">
        <f t="shared" si="5"/>
        <v>2024</v>
      </c>
      <c r="B15" s="6"/>
      <c r="C15" s="16">
        <f>+'Purchased Power Model'!N163</f>
        <v>273612605.66577506</v>
      </c>
      <c r="G15" s="16">
        <f>C15/$F$17</f>
        <v>263859540.13704619</v>
      </c>
      <c r="H15"/>
      <c r="I15"/>
      <c r="J15"/>
      <c r="K15"/>
      <c r="L15"/>
      <c r="M15"/>
      <c r="N15" s="40">
        <f>+C15-G15</f>
        <v>9753065.5287288725</v>
      </c>
    </row>
    <row r="16" spans="1:21" s="47" customFormat="1" x14ac:dyDescent="0.2">
      <c r="B16" s="67"/>
      <c r="C16" s="67"/>
      <c r="D16" s="67"/>
      <c r="E16" s="67"/>
      <c r="F16" s="67"/>
      <c r="G16" s="108"/>
      <c r="H16" s="121"/>
      <c r="I16" s="121"/>
      <c r="J16" s="121"/>
      <c r="K16" s="121"/>
      <c r="L16" s="121"/>
      <c r="M16" s="121"/>
      <c r="U16" s="108"/>
    </row>
    <row r="17" spans="1:16" x14ac:dyDescent="0.2">
      <c r="A17" s="15" t="s">
        <v>15</v>
      </c>
      <c r="C17" s="39"/>
      <c r="D17" s="41"/>
      <c r="E17" s="67" t="s">
        <v>147</v>
      </c>
      <c r="F17" s="18">
        <f>AVERAGE(F3:F12)</f>
        <v>1.0369630960611211</v>
      </c>
      <c r="G17" s="6" t="s">
        <v>253</v>
      </c>
      <c r="H17" s="107">
        <f>+H12/H3</f>
        <v>1.1063703641681721</v>
      </c>
      <c r="I17" s="107">
        <f t="shared" ref="I17:M17" si="11">+I12/I3</f>
        <v>0.96669296054622789</v>
      </c>
      <c r="J17" s="107">
        <f t="shared" si="11"/>
        <v>1.1357520615344376</v>
      </c>
      <c r="K17" s="107">
        <f t="shared" si="11"/>
        <v>0.51080994388233913</v>
      </c>
      <c r="L17" s="107">
        <f t="shared" si="11"/>
        <v>0.94086927041272816</v>
      </c>
      <c r="M17" s="107">
        <f t="shared" si="11"/>
        <v>0.97640446752985854</v>
      </c>
    </row>
    <row r="18" spans="1:16" x14ac:dyDescent="0.2">
      <c r="C18" s="39"/>
      <c r="D18" s="41"/>
      <c r="E18" s="67" t="s">
        <v>148</v>
      </c>
      <c r="F18" s="18">
        <f>AVERAGE(F8:F12)</f>
        <v>1.0340929063406228</v>
      </c>
    </row>
    <row r="19" spans="1:16" x14ac:dyDescent="0.2">
      <c r="C19" s="39"/>
      <c r="D19" s="41"/>
    </row>
    <row r="20" spans="1:16" x14ac:dyDescent="0.2">
      <c r="A20" s="17" t="s">
        <v>17</v>
      </c>
      <c r="B20" s="11"/>
    </row>
    <row r="22" spans="1:16" x14ac:dyDescent="0.2">
      <c r="A22">
        <f>A12</f>
        <v>2022</v>
      </c>
      <c r="H22" s="6">
        <f>H12/'Rate Class Customer Model'!B20</f>
        <v>8274.2980345481046</v>
      </c>
      <c r="I22" s="6">
        <f>I12/'Rate Class Customer Model'!C20</f>
        <v>30206.483904607565</v>
      </c>
      <c r="J22" s="6">
        <f>J12/'Rate Class Customer Model'!D20</f>
        <v>1082778.259173136</v>
      </c>
      <c r="K22" s="6">
        <f>K12/'Rate Class Customer Model'!E20</f>
        <v>293.13443149980094</v>
      </c>
      <c r="L22" s="6">
        <f>L12/'Rate Class Customer Model'!F20</f>
        <v>634.29553576317744</v>
      </c>
      <c r="M22" s="6">
        <f>M12/'Rate Class Customer Model'!G20</f>
        <v>3829.9916856352297</v>
      </c>
    </row>
    <row r="23" spans="1:16" x14ac:dyDescent="0.2">
      <c r="A23">
        <v>2023</v>
      </c>
      <c r="H23" s="16">
        <f>H22</f>
        <v>8274.2980345481046</v>
      </c>
      <c r="I23" s="16">
        <f t="shared" ref="I23:M24" si="12">I22</f>
        <v>30206.483904607565</v>
      </c>
      <c r="J23" s="16">
        <f t="shared" si="12"/>
        <v>1082778.259173136</v>
      </c>
      <c r="K23" s="16">
        <f t="shared" si="12"/>
        <v>293.13443149980094</v>
      </c>
      <c r="L23" s="16">
        <f t="shared" si="12"/>
        <v>634.29553576317744</v>
      </c>
      <c r="M23" s="16">
        <f t="shared" si="12"/>
        <v>3829.9916856352297</v>
      </c>
    </row>
    <row r="24" spans="1:16" x14ac:dyDescent="0.2">
      <c r="A24">
        <f>A15</f>
        <v>2024</v>
      </c>
      <c r="H24" s="16">
        <f>H23</f>
        <v>8274.2980345481046</v>
      </c>
      <c r="I24" s="16">
        <f t="shared" si="12"/>
        <v>30206.483904607565</v>
      </c>
      <c r="J24" s="16">
        <f t="shared" si="12"/>
        <v>1082778.259173136</v>
      </c>
      <c r="K24" s="16">
        <f t="shared" si="12"/>
        <v>293.13443149980094</v>
      </c>
      <c r="L24" s="16">
        <f t="shared" si="12"/>
        <v>634.29553576317744</v>
      </c>
      <c r="M24" s="16">
        <f t="shared" si="12"/>
        <v>3829.9916856352297</v>
      </c>
    </row>
    <row r="25" spans="1:16" x14ac:dyDescent="0.2">
      <c r="H25"/>
      <c r="I25"/>
      <c r="J25"/>
      <c r="K25"/>
      <c r="L25"/>
      <c r="M25"/>
    </row>
    <row r="26" spans="1:16" x14ac:dyDescent="0.2">
      <c r="D26" s="6"/>
      <c r="H26" s="19"/>
      <c r="I26" s="19"/>
      <c r="J26" s="19"/>
      <c r="K26" s="19"/>
      <c r="L26" s="19"/>
      <c r="M26" s="19"/>
    </row>
    <row r="27" spans="1:16" x14ac:dyDescent="0.2">
      <c r="A27" s="15" t="s">
        <v>43</v>
      </c>
    </row>
    <row r="28" spans="1:16" x14ac:dyDescent="0.2">
      <c r="A28" s="47">
        <v>2023</v>
      </c>
      <c r="G28" s="6">
        <f>SUM(H28:M28)</f>
        <v>269024275.43077213</v>
      </c>
      <c r="H28" s="6">
        <f>H23*'Rate Class Customer Model'!B21</f>
        <v>96086664.97586228</v>
      </c>
      <c r="I28" s="6">
        <f>I23*'Rate Class Customer Model'!C21</f>
        <v>35167898.88593936</v>
      </c>
      <c r="J28" s="6">
        <f>J23*'Rate Class Customer Model'!D21</f>
        <v>136430060.65581512</v>
      </c>
      <c r="K28" s="6">
        <f>K23*'Rate Class Customer Model'!E21</f>
        <v>868557.32053391018</v>
      </c>
      <c r="L28" s="6">
        <f>L23*'Rate Class Customer Model'!F21</f>
        <v>99584.399114818865</v>
      </c>
      <c r="M28" s="6">
        <f>M23*'Rate Class Customer Model'!G21</f>
        <v>371509.19350661727</v>
      </c>
    </row>
    <row r="29" spans="1:16" x14ac:dyDescent="0.2">
      <c r="A29" s="47">
        <v>2024</v>
      </c>
      <c r="G29" s="6">
        <f>SUM(H29:M29)</f>
        <v>270355937.92683446</v>
      </c>
      <c r="H29" s="6">
        <f>H24*'Rate Class Customer Model'!B22</f>
        <v>97144396.074612021</v>
      </c>
      <c r="I29" s="6">
        <f>I24*'Rate Class Customer Model'!C22</f>
        <v>35295776.469837934</v>
      </c>
      <c r="J29" s="6">
        <f>J24*'Rate Class Customer Model'!D22</f>
        <v>136575277.61715198</v>
      </c>
      <c r="K29" s="6">
        <f>K24*'Rate Class Customer Model'!E22</f>
        <v>871821.39252327662</v>
      </c>
      <c r="L29" s="6">
        <f>L24*'Rate Class Customer Model'!F22</f>
        <v>99648.051869478732</v>
      </c>
      <c r="M29" s="6">
        <f>M24*'Rate Class Customer Model'!G22</f>
        <v>369018.32083981927</v>
      </c>
    </row>
    <row r="31" spans="1:16" x14ac:dyDescent="0.2">
      <c r="A31" s="15" t="s">
        <v>42</v>
      </c>
      <c r="O31" s="6"/>
    </row>
    <row r="32" spans="1:16" x14ac:dyDescent="0.2">
      <c r="A32" s="47">
        <f>+A28</f>
        <v>2023</v>
      </c>
      <c r="G32" s="16">
        <f>G14</f>
        <v>259066908.31541246</v>
      </c>
      <c r="H32" s="6">
        <f>H28+H40</f>
        <v>91628868.162093714</v>
      </c>
      <c r="I32" s="6">
        <f t="shared" ref="I32:M32" si="13">I28+I40</f>
        <v>33536336.924245115</v>
      </c>
      <c r="J32" s="6">
        <f>J28+J40</f>
        <v>132562052.31591827</v>
      </c>
      <c r="K32" s="6">
        <f t="shared" si="13"/>
        <v>868557.32053391018</v>
      </c>
      <c r="L32" s="6">
        <f t="shared" si="13"/>
        <v>99584.399114818865</v>
      </c>
      <c r="M32" s="6">
        <f t="shared" si="13"/>
        <v>371509.19350661727</v>
      </c>
      <c r="N32" s="6">
        <f>SUM(H32:M32)</f>
        <v>259066908.31541243</v>
      </c>
      <c r="O32" s="6"/>
      <c r="P32" s="6"/>
    </row>
    <row r="33" spans="1:16" x14ac:dyDescent="0.2">
      <c r="A33" s="47">
        <f>+A29</f>
        <v>2024</v>
      </c>
      <c r="G33" s="16">
        <f>G15</f>
        <v>263859540.13704619</v>
      </c>
      <c r="H33" s="6">
        <f>H29+H41</f>
        <v>94221374.619588077</v>
      </c>
      <c r="I33" s="6">
        <f t="shared" ref="I33:M33" si="14">I29+I41</f>
        <v>34233745.966155298</v>
      </c>
      <c r="J33" s="6">
        <f t="shared" si="14"/>
        <v>134063931.78607029</v>
      </c>
      <c r="K33" s="6">
        <f t="shared" si="14"/>
        <v>871821.39252327662</v>
      </c>
      <c r="L33" s="6">
        <f t="shared" si="14"/>
        <v>99648.051869478732</v>
      </c>
      <c r="M33" s="6">
        <f t="shared" si="14"/>
        <v>369018.32083981927</v>
      </c>
      <c r="N33" s="6">
        <f>SUM(H33:M33)</f>
        <v>263859540.13704625</v>
      </c>
      <c r="O33" s="6"/>
      <c r="P33" s="6"/>
    </row>
    <row r="34" spans="1:16" x14ac:dyDescent="0.2">
      <c r="O34" s="6"/>
    </row>
    <row r="35" spans="1:16" x14ac:dyDescent="0.2">
      <c r="A35" t="s">
        <v>44</v>
      </c>
      <c r="H35" s="64">
        <f>(100%+J35)/2</f>
        <v>0.72</v>
      </c>
      <c r="I35" s="65">
        <f>H35</f>
        <v>0.72</v>
      </c>
      <c r="J35" s="109">
        <v>0.44</v>
      </c>
      <c r="K35" s="65">
        <v>0</v>
      </c>
      <c r="L35" s="65">
        <v>0</v>
      </c>
      <c r="M35" s="65">
        <v>0</v>
      </c>
    </row>
    <row r="36" spans="1:16" x14ac:dyDescent="0.2">
      <c r="A36" s="47">
        <f>+A32</f>
        <v>2023</v>
      </c>
      <c r="G36" s="6">
        <f>G32-G28</f>
        <v>-9957367.115359664</v>
      </c>
      <c r="H36" s="6">
        <f>H28*H$35</f>
        <v>69182398.782620832</v>
      </c>
      <c r="I36" s="6">
        <f t="shared" ref="I36:M36" si="15">I28*I$35</f>
        <v>25320887.197876338</v>
      </c>
      <c r="J36" s="6">
        <f t="shared" si="15"/>
        <v>60029226.688558653</v>
      </c>
      <c r="K36" s="6">
        <f t="shared" si="15"/>
        <v>0</v>
      </c>
      <c r="L36" s="6">
        <f t="shared" si="15"/>
        <v>0</v>
      </c>
      <c r="M36" s="6">
        <f t="shared" si="15"/>
        <v>0</v>
      </c>
      <c r="N36" s="6">
        <f>SUM(H36:M36)</f>
        <v>154532512.66905582</v>
      </c>
    </row>
    <row r="37" spans="1:16" x14ac:dyDescent="0.2">
      <c r="A37" s="47">
        <f>+A33</f>
        <v>2024</v>
      </c>
      <c r="G37" s="6">
        <f>G33-G29</f>
        <v>-6496397.789788276</v>
      </c>
      <c r="H37" s="6">
        <f t="shared" ref="H37" si="16">H29*H$35</f>
        <v>69943965.173720658</v>
      </c>
      <c r="I37" s="6">
        <f t="shared" ref="I37:M37" si="17">I29*I$35</f>
        <v>25412959.05828331</v>
      </c>
      <c r="J37" s="6">
        <f t="shared" si="17"/>
        <v>60093122.151546873</v>
      </c>
      <c r="K37" s="6">
        <f t="shared" si="17"/>
        <v>0</v>
      </c>
      <c r="L37" s="6">
        <f t="shared" si="17"/>
        <v>0</v>
      </c>
      <c r="M37" s="6">
        <f t="shared" si="17"/>
        <v>0</v>
      </c>
      <c r="N37" s="6">
        <f>SUM(H37:M37)</f>
        <v>155450046.38355085</v>
      </c>
    </row>
    <row r="38" spans="1:16" ht="12" customHeight="1" x14ac:dyDescent="0.2"/>
    <row r="39" spans="1:16" x14ac:dyDescent="0.2">
      <c r="A39" t="s">
        <v>45</v>
      </c>
    </row>
    <row r="40" spans="1:16" x14ac:dyDescent="0.2">
      <c r="A40" s="47">
        <f>+A36</f>
        <v>2023</v>
      </c>
      <c r="G40" s="6">
        <f>SUM(H40:M40)</f>
        <v>-9957367.115359664</v>
      </c>
      <c r="H40" s="6">
        <f>H36/$N$36*$G$36</f>
        <v>-4457796.8137685629</v>
      </c>
      <c r="I40" s="6">
        <f t="shared" ref="I40:M40" si="18">I36/$N$36*$G$36</f>
        <v>-1631561.9616942443</v>
      </c>
      <c r="J40" s="6">
        <f>J36/$N$36*$G$36</f>
        <v>-3868008.3398968573</v>
      </c>
      <c r="K40" s="6">
        <f t="shared" si="18"/>
        <v>0</v>
      </c>
      <c r="L40" s="6">
        <f t="shared" si="18"/>
        <v>0</v>
      </c>
      <c r="M40" s="6">
        <f t="shared" si="18"/>
        <v>0</v>
      </c>
    </row>
    <row r="41" spans="1:16" x14ac:dyDescent="0.2">
      <c r="A41" s="47">
        <f>+A37</f>
        <v>2024</v>
      </c>
      <c r="G41" s="6">
        <f>SUM(H41:M41)</f>
        <v>-6496397.789788275</v>
      </c>
      <c r="H41" s="6">
        <f t="shared" ref="H41:M41" si="19">H37/$N$37*$G$37</f>
        <v>-2923021.4550239481</v>
      </c>
      <c r="I41" s="6">
        <f t="shared" si="19"/>
        <v>-1062030.503682636</v>
      </c>
      <c r="J41" s="6">
        <f t="shared" si="19"/>
        <v>-2511345.8310816912</v>
      </c>
      <c r="K41" s="6">
        <f t="shared" si="19"/>
        <v>0</v>
      </c>
      <c r="L41" s="6">
        <f t="shared" si="19"/>
        <v>0</v>
      </c>
      <c r="M41" s="6">
        <f t="shared" si="19"/>
        <v>0</v>
      </c>
    </row>
    <row r="42" spans="1:16" x14ac:dyDescent="0.2">
      <c r="G42" s="20"/>
    </row>
    <row r="43" spans="1:16" x14ac:dyDescent="0.2">
      <c r="A43" s="238" t="s">
        <v>17</v>
      </c>
      <c r="B43" s="218"/>
      <c r="C43" s="218"/>
      <c r="D43" s="218"/>
      <c r="E43" s="218"/>
      <c r="F43" s="218"/>
      <c r="G43" s="239"/>
      <c r="H43" s="219"/>
      <c r="I43" s="219"/>
      <c r="J43" s="219"/>
      <c r="K43" s="219"/>
      <c r="L43" s="219"/>
      <c r="M43" s="219"/>
      <c r="N43" s="220"/>
      <c r="O43" s="220"/>
    </row>
    <row r="44" spans="1:16" x14ac:dyDescent="0.2">
      <c r="A44" s="234" t="s">
        <v>279</v>
      </c>
      <c r="B44" s="235"/>
      <c r="C44" s="235"/>
      <c r="D44" s="235"/>
      <c r="E44" s="235"/>
      <c r="F44" s="235"/>
      <c r="G44" s="236"/>
      <c r="H44" s="236">
        <f>+H13/AVERAGE(Inputs!Q120:Q131)</f>
        <v>7994.4928962157883</v>
      </c>
      <c r="I44" s="236">
        <f>+I13/AVERAGE(Inputs!S120:S131)</f>
        <v>30065.948676188287</v>
      </c>
      <c r="J44" s="236">
        <f>+J13/AVERAGE(Inputs!V120:V131)</f>
        <v>1059762.2406008563</v>
      </c>
      <c r="K44" s="236">
        <f>+K13/AVERAGE(Inputs!Y120:Y131)</f>
        <v>291.68770446126899</v>
      </c>
      <c r="L44" s="236">
        <f>+L13/AVERAGE(Inputs!AB120:AB131)</f>
        <v>631.38527283522433</v>
      </c>
      <c r="M44" s="236">
        <f>M13/AVERAGE(Inputs!AD120:AD131)</f>
        <v>3800.175838827583</v>
      </c>
      <c r="N44" s="234"/>
      <c r="O44" s="234" t="s">
        <v>280</v>
      </c>
    </row>
    <row r="45" spans="1:16" x14ac:dyDescent="0.2">
      <c r="A45" s="220"/>
      <c r="B45" s="218"/>
      <c r="C45" s="218"/>
      <c r="D45" s="218"/>
      <c r="E45" s="218"/>
      <c r="F45" s="218"/>
      <c r="G45" s="239"/>
      <c r="H45" s="219"/>
      <c r="I45" s="219"/>
      <c r="J45" s="219"/>
      <c r="K45" s="219"/>
      <c r="L45" s="219"/>
      <c r="M45" s="219"/>
      <c r="N45" s="220"/>
      <c r="O45" s="220"/>
    </row>
    <row r="46" spans="1:16" x14ac:dyDescent="0.2">
      <c r="A46" s="217" t="s">
        <v>43</v>
      </c>
      <c r="B46" s="218"/>
      <c r="C46" s="218"/>
      <c r="D46" s="218"/>
      <c r="E46" s="218"/>
      <c r="F46" s="218"/>
      <c r="G46" s="219"/>
      <c r="H46" s="219"/>
      <c r="I46" s="219"/>
      <c r="J46" s="219"/>
      <c r="K46" s="219"/>
      <c r="L46" s="219"/>
      <c r="M46" s="219"/>
      <c r="N46" s="220"/>
      <c r="O46" s="220"/>
    </row>
    <row r="47" spans="1:16" x14ac:dyDescent="0.2">
      <c r="A47" s="221">
        <v>2024</v>
      </c>
      <c r="B47" s="218"/>
      <c r="C47" s="218"/>
      <c r="D47" s="218"/>
      <c r="E47" s="218"/>
      <c r="F47" s="218"/>
      <c r="G47" s="219">
        <f>SUM(H47:M47)</f>
        <v>263995934.76415479</v>
      </c>
      <c r="H47" s="219">
        <f>+H44*'Rate Class Customer Model'!B22</f>
        <v>93859343.848021463</v>
      </c>
      <c r="I47" s="219">
        <f>+I44*'Rate Class Customer Model'!C22</f>
        <v>35131563.381545722</v>
      </c>
      <c r="J47" s="219">
        <f>+J44*'Rate Class Customer Model'!D22</f>
        <v>133672172.48041688</v>
      </c>
      <c r="K47" s="219">
        <f>+K44*'Rate Class Customer Model'!E22</f>
        <v>867518.63090335811</v>
      </c>
      <c r="L47" s="219">
        <f>+L44*'Rate Class Customer Model'!F22</f>
        <v>99190.848539410261</v>
      </c>
      <c r="M47" s="219">
        <f>+M44*'Rate Class Customer Model'!G22</f>
        <v>366145.57472795661</v>
      </c>
      <c r="N47" s="220"/>
      <c r="O47" s="220"/>
    </row>
    <row r="48" spans="1:16" x14ac:dyDescent="0.2">
      <c r="A48" s="220"/>
      <c r="B48" s="218"/>
      <c r="C48" s="218"/>
      <c r="D48" s="218"/>
      <c r="E48" s="218"/>
      <c r="F48" s="218"/>
      <c r="G48" s="219"/>
      <c r="H48" s="219"/>
      <c r="I48" s="219"/>
      <c r="J48" s="219"/>
      <c r="K48" s="219"/>
      <c r="L48" s="219"/>
      <c r="M48" s="219"/>
      <c r="N48" s="220"/>
      <c r="O48" s="220"/>
    </row>
    <row r="49" spans="1:21" x14ac:dyDescent="0.2">
      <c r="A49" s="217" t="s">
        <v>42</v>
      </c>
      <c r="B49" s="218"/>
      <c r="C49" s="218"/>
      <c r="D49" s="218"/>
      <c r="E49" s="218"/>
      <c r="F49" s="218"/>
      <c r="G49" s="219"/>
      <c r="H49" s="219"/>
      <c r="I49" s="219"/>
      <c r="J49" s="219"/>
      <c r="K49" s="219"/>
      <c r="L49" s="219"/>
      <c r="M49" s="219"/>
      <c r="N49" s="220"/>
      <c r="O49" s="219"/>
      <c r="U49"/>
    </row>
    <row r="50" spans="1:21" x14ac:dyDescent="0.2">
      <c r="A50" s="221">
        <f>+A47</f>
        <v>2024</v>
      </c>
      <c r="B50" s="218"/>
      <c r="C50" s="218"/>
      <c r="D50" s="218"/>
      <c r="E50" s="218"/>
      <c r="F50" s="218"/>
      <c r="G50" s="219">
        <f>G31</f>
        <v>0</v>
      </c>
      <c r="H50" s="219">
        <f t="shared" ref="H50:M50" si="20">H47+H56</f>
        <v>91035167.80793862</v>
      </c>
      <c r="I50" s="219">
        <f t="shared" si="20"/>
        <v>34074473.959383681</v>
      </c>
      <c r="J50" s="219">
        <f t="shared" si="20"/>
        <v>131214208.93864504</v>
      </c>
      <c r="K50" s="219">
        <f t="shared" si="20"/>
        <v>867518.63090335811</v>
      </c>
      <c r="L50" s="219">
        <f t="shared" si="20"/>
        <v>99190.848539410261</v>
      </c>
      <c r="M50" s="219">
        <f t="shared" si="20"/>
        <v>366145.57472795661</v>
      </c>
      <c r="N50" s="219">
        <f>SUM(H50:M50)</f>
        <v>257656705.76013806</v>
      </c>
      <c r="O50" s="219"/>
      <c r="U50"/>
    </row>
    <row r="51" spans="1:21" x14ac:dyDescent="0.2">
      <c r="A51" s="220"/>
      <c r="B51" s="218"/>
      <c r="C51" s="218"/>
      <c r="D51" s="218"/>
      <c r="E51" s="218"/>
      <c r="F51" s="218"/>
      <c r="G51" s="219"/>
      <c r="H51" s="219"/>
      <c r="I51" s="219"/>
      <c r="J51" s="219"/>
      <c r="K51" s="219"/>
      <c r="L51" s="219"/>
      <c r="M51" s="219"/>
      <c r="N51" s="220"/>
      <c r="O51" s="219"/>
      <c r="U51"/>
    </row>
    <row r="52" spans="1:21" x14ac:dyDescent="0.2">
      <c r="A52" s="220" t="s">
        <v>44</v>
      </c>
      <c r="B52" s="218"/>
      <c r="C52" s="218"/>
      <c r="D52" s="218"/>
      <c r="E52" s="218"/>
      <c r="F52" s="218"/>
      <c r="G52" s="219"/>
      <c r="H52" s="240">
        <f>(100%+J52)/2</f>
        <v>0.72</v>
      </c>
      <c r="I52" s="239">
        <f>H52</f>
        <v>0.72</v>
      </c>
      <c r="J52" s="241">
        <v>0.44</v>
      </c>
      <c r="K52" s="239">
        <v>0</v>
      </c>
      <c r="L52" s="239">
        <v>0</v>
      </c>
      <c r="M52" s="239">
        <v>0</v>
      </c>
      <c r="N52" s="220"/>
      <c r="O52" s="220"/>
    </row>
    <row r="53" spans="1:21" x14ac:dyDescent="0.2">
      <c r="A53" s="221">
        <f>+A50</f>
        <v>2024</v>
      </c>
      <c r="B53" s="218"/>
      <c r="C53" s="218"/>
      <c r="D53" s="218"/>
      <c r="E53" s="218"/>
      <c r="F53" s="218"/>
      <c r="G53" s="219">
        <f>G50-G47</f>
        <v>-263995934.76415479</v>
      </c>
      <c r="H53" s="219">
        <f t="shared" ref="H53:M53" si="21">H47*H$35</f>
        <v>67578727.570575446</v>
      </c>
      <c r="I53" s="219">
        <f t="shared" si="21"/>
        <v>25294725.63471292</v>
      </c>
      <c r="J53" s="219">
        <f t="shared" si="21"/>
        <v>58815755.891383424</v>
      </c>
      <c r="K53" s="219">
        <f t="shared" si="21"/>
        <v>0</v>
      </c>
      <c r="L53" s="219">
        <f t="shared" si="21"/>
        <v>0</v>
      </c>
      <c r="M53" s="219">
        <f t="shared" si="21"/>
        <v>0</v>
      </c>
      <c r="N53" s="219">
        <f>SUM(H53:M53)</f>
        <v>151689209.09667179</v>
      </c>
      <c r="O53" s="220"/>
      <c r="U53"/>
    </row>
    <row r="54" spans="1:21" x14ac:dyDescent="0.2">
      <c r="A54" s="220"/>
      <c r="B54" s="218"/>
      <c r="C54" s="218"/>
      <c r="D54" s="218"/>
      <c r="E54" s="218"/>
      <c r="F54" s="218"/>
      <c r="G54" s="219"/>
      <c r="H54" s="219"/>
      <c r="I54" s="219"/>
      <c r="J54" s="219"/>
      <c r="K54" s="219"/>
      <c r="L54" s="219"/>
      <c r="M54" s="219"/>
      <c r="N54" s="220"/>
      <c r="O54" s="220"/>
      <c r="U54"/>
    </row>
    <row r="55" spans="1:21" x14ac:dyDescent="0.2">
      <c r="A55" s="220" t="s">
        <v>45</v>
      </c>
      <c r="B55" s="218"/>
      <c r="C55" s="218"/>
      <c r="D55" s="218"/>
      <c r="E55" s="218"/>
      <c r="F55" s="218"/>
      <c r="G55" s="219"/>
      <c r="H55" s="219"/>
      <c r="I55" s="219"/>
      <c r="J55" s="219"/>
      <c r="K55" s="219"/>
      <c r="L55" s="219"/>
      <c r="M55" s="219"/>
      <c r="N55" s="220"/>
      <c r="O55" s="220"/>
      <c r="U55"/>
    </row>
    <row r="56" spans="1:21" x14ac:dyDescent="0.2">
      <c r="A56" s="221">
        <f>+A53</f>
        <v>2024</v>
      </c>
      <c r="B56" s="218"/>
      <c r="C56" s="218"/>
      <c r="D56" s="218"/>
      <c r="E56" s="218"/>
      <c r="F56" s="218"/>
      <c r="G56" s="219">
        <f>SUM(H56:M56)</f>
        <v>-6339229.0040167216</v>
      </c>
      <c r="H56" s="219">
        <f t="shared" ref="H56:M56" si="22">H53/$N$37*$G$37</f>
        <v>-2824176.0400828393</v>
      </c>
      <c r="I56" s="219">
        <f t="shared" si="22"/>
        <v>-1057089.4221620385</v>
      </c>
      <c r="J56" s="219">
        <f t="shared" si="22"/>
        <v>-2457963.541771844</v>
      </c>
      <c r="K56" s="219">
        <f t="shared" si="22"/>
        <v>0</v>
      </c>
      <c r="L56" s="219">
        <f t="shared" si="22"/>
        <v>0</v>
      </c>
      <c r="M56" s="219">
        <f t="shared" si="22"/>
        <v>0</v>
      </c>
      <c r="N56" s="220"/>
      <c r="O56" s="220"/>
      <c r="U56"/>
    </row>
    <row r="57" spans="1:21" x14ac:dyDescent="0.2">
      <c r="A57" s="15"/>
      <c r="U57"/>
    </row>
    <row r="58" spans="1:21" x14ac:dyDescent="0.2">
      <c r="A58" s="15"/>
      <c r="U58"/>
    </row>
    <row r="59" spans="1:21" x14ac:dyDescent="0.2">
      <c r="A59" s="15"/>
      <c r="U59"/>
    </row>
    <row r="60" spans="1:21" x14ac:dyDescent="0.2">
      <c r="A60" s="15"/>
      <c r="U60"/>
    </row>
    <row r="61" spans="1:21" x14ac:dyDescent="0.2">
      <c r="A61" s="15"/>
      <c r="U61"/>
    </row>
    <row r="62" spans="1:21" x14ac:dyDescent="0.2">
      <c r="B62"/>
      <c r="C62"/>
      <c r="D62"/>
      <c r="E62"/>
      <c r="F62"/>
      <c r="G62"/>
      <c r="H62"/>
      <c r="I62"/>
      <c r="J62"/>
      <c r="K62"/>
      <c r="L62"/>
      <c r="M62"/>
      <c r="U62"/>
    </row>
  </sheetData>
  <phoneticPr fontId="0" type="noConversion"/>
  <pageMargins left="0.38" right="0.75" top="0.73" bottom="0.74" header="0.5" footer="0.5"/>
  <pageSetup scale="56" orientation="landscape" r:id="rId1"/>
  <headerFooter alignWithMargins="0">
    <oddFooter>&amp;L&amp;Z&amp;F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O85"/>
  <sheetViews>
    <sheetView topLeftCell="A18" workbookViewId="0">
      <selection activeCell="B22" sqref="B22"/>
    </sheetView>
  </sheetViews>
  <sheetFormatPr defaultRowHeight="12.75" x14ac:dyDescent="0.2"/>
  <cols>
    <col min="1" max="1" width="20.7109375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7" width="11.42578125" style="6" customWidth="1"/>
    <col min="8" max="8" width="11.5703125" customWidth="1"/>
    <col min="9" max="9" width="12.5703125" bestFit="1" customWidth="1"/>
    <col min="10" max="10" width="12.5703125" customWidth="1"/>
    <col min="11" max="11" width="12.5703125" bestFit="1" customWidth="1"/>
    <col min="12" max="12" width="11.5703125" bestFit="1" customWidth="1"/>
    <col min="13" max="13" width="13.42578125" customWidth="1"/>
    <col min="14" max="15" width="11.5703125" customWidth="1"/>
    <col min="16" max="16" width="10.5703125" bestFit="1" customWidth="1"/>
    <col min="17" max="18" width="9.140625" customWidth="1"/>
  </cols>
  <sheetData>
    <row r="1" spans="1:15" ht="25.5" x14ac:dyDescent="0.2">
      <c r="B1" s="245" t="s">
        <v>73</v>
      </c>
      <c r="C1" s="246"/>
      <c r="D1" s="246"/>
      <c r="E1" s="246"/>
      <c r="F1" s="246"/>
      <c r="G1" s="246"/>
      <c r="M1" s="190" t="s">
        <v>264</v>
      </c>
      <c r="N1" s="190" t="s">
        <v>263</v>
      </c>
      <c r="O1" s="190" t="s">
        <v>40</v>
      </c>
    </row>
    <row r="2" spans="1:15" ht="25.5" x14ac:dyDescent="0.2">
      <c r="A2" s="47" t="s">
        <v>266</v>
      </c>
      <c r="B2" s="9" t="str">
        <f>'Rate Class Energy Model'!H2</f>
        <v xml:space="preserve">Residential </v>
      </c>
      <c r="C2" s="9" t="str">
        <f>'Rate Class Energy Model'!I2</f>
        <v>General Service &lt; 50 kW</v>
      </c>
      <c r="D2" s="9" t="str">
        <f>'Rate Class Energy Model'!J2</f>
        <v>General Service &gt; 50 to 999 kW</v>
      </c>
      <c r="E2" s="9" t="str">
        <f>'Rate Class Energy Model'!K2</f>
        <v>Street Lights</v>
      </c>
      <c r="F2" s="9" t="str">
        <f>'Rate Class Energy Model'!L2</f>
        <v>Sentinel Lights</v>
      </c>
      <c r="G2" s="9" t="str">
        <f>'Rate Class Energy Model'!M2</f>
        <v xml:space="preserve">Unmetered Loads </v>
      </c>
      <c r="H2" s="1" t="s">
        <v>11</v>
      </c>
      <c r="M2" s="207">
        <f>+B21</f>
        <v>11612.666666666666</v>
      </c>
      <c r="N2" s="191">
        <f>+B21*B37</f>
        <v>11762.939072052624</v>
      </c>
      <c r="O2" s="191">
        <f>+M2-N2</f>
        <v>-150.27240538595834</v>
      </c>
    </row>
    <row r="3" spans="1:15" x14ac:dyDescent="0.2">
      <c r="A3" s="4"/>
      <c r="B3" s="28"/>
      <c r="C3" s="28"/>
      <c r="D3" s="28"/>
      <c r="E3" s="28"/>
      <c r="F3" s="28"/>
      <c r="G3" s="28"/>
      <c r="M3" s="207">
        <f>+B22</f>
        <v>11740.5</v>
      </c>
      <c r="N3" s="191">
        <f>+N2*B39</f>
        <v>11915.156060579448</v>
      </c>
      <c r="O3" s="191">
        <f>+M3-N3</f>
        <v>-174.65606057944751</v>
      </c>
    </row>
    <row r="4" spans="1:15" hidden="1" x14ac:dyDescent="0.2">
      <c r="A4" s="4">
        <v>2000</v>
      </c>
      <c r="B4" s="27"/>
      <c r="C4" s="27"/>
      <c r="D4" s="27"/>
      <c r="E4" s="27"/>
      <c r="F4" s="27"/>
      <c r="G4" s="27"/>
    </row>
    <row r="5" spans="1:15" hidden="1" x14ac:dyDescent="0.2">
      <c r="A5" s="4">
        <v>2001</v>
      </c>
      <c r="B5" s="28" t="e">
        <f>(#REF!+#REF!)/2</f>
        <v>#REF!</v>
      </c>
      <c r="C5" s="28" t="e">
        <f>(#REF!+#REF!)/2</f>
        <v>#REF!</v>
      </c>
      <c r="D5" s="28" t="e">
        <f>(#REF!+#REF!)/2</f>
        <v>#REF!</v>
      </c>
      <c r="E5" s="28" t="e">
        <f>(#REF!+#REF!)/2</f>
        <v>#REF!</v>
      </c>
      <c r="F5" s="28" t="e">
        <f>(#REF!+#REF!)/2</f>
        <v>#REF!</v>
      </c>
      <c r="G5" s="28"/>
    </row>
    <row r="6" spans="1:15" hidden="1" x14ac:dyDescent="0.2">
      <c r="A6" s="4">
        <v>2002</v>
      </c>
      <c r="B6" s="28" t="e">
        <f>(#REF!+#REF!)/2</f>
        <v>#REF!</v>
      </c>
      <c r="C6" s="28" t="e">
        <f>(#REF!+#REF!)/2</f>
        <v>#REF!</v>
      </c>
      <c r="D6" s="28" t="e">
        <f>(#REF!+#REF!)/2</f>
        <v>#REF!</v>
      </c>
      <c r="E6" s="28" t="e">
        <f>(#REF!+#REF!)/2</f>
        <v>#REF!</v>
      </c>
      <c r="F6" s="28">
        <v>0</v>
      </c>
      <c r="G6" s="28"/>
    </row>
    <row r="7" spans="1:15" hidden="1" x14ac:dyDescent="0.2">
      <c r="A7" s="4">
        <v>2003</v>
      </c>
      <c r="B7" s="28" t="e">
        <f>(#REF!+#REF!)/2</f>
        <v>#REF!</v>
      </c>
      <c r="C7" s="28" t="e">
        <f>(#REF!+#REF!)/2</f>
        <v>#REF!</v>
      </c>
      <c r="D7" s="28" t="e">
        <f>(#REF!+#REF!)/2</f>
        <v>#REF!</v>
      </c>
      <c r="E7" s="28" t="e">
        <f>(#REF!+#REF!)/2</f>
        <v>#REF!</v>
      </c>
      <c r="F7" s="28" t="e">
        <f>(#REF!+#REF!)/2</f>
        <v>#REF!</v>
      </c>
      <c r="G7" s="28"/>
    </row>
    <row r="8" spans="1:15" hidden="1" x14ac:dyDescent="0.2">
      <c r="A8" s="4">
        <v>2004</v>
      </c>
      <c r="B8" s="28" t="e">
        <f>(#REF!+#REF!)/2</f>
        <v>#REF!</v>
      </c>
      <c r="C8" s="28" t="e">
        <f>(#REF!+#REF!)/2</f>
        <v>#REF!</v>
      </c>
      <c r="D8" s="28" t="e">
        <f>(#REF!+#REF!)/2</f>
        <v>#REF!</v>
      </c>
      <c r="E8" s="28" t="e">
        <f>(#REF!+#REF!)/2</f>
        <v>#REF!</v>
      </c>
      <c r="F8" s="28" t="e">
        <f>(#REF!+#REF!)/2</f>
        <v>#REF!</v>
      </c>
      <c r="G8" s="28"/>
    </row>
    <row r="9" spans="1:15" hidden="1" x14ac:dyDescent="0.2">
      <c r="A9" s="4">
        <v>2005</v>
      </c>
      <c r="B9" s="28" t="e">
        <f>(#REF!+#REF!)/2</f>
        <v>#REF!</v>
      </c>
      <c r="C9" s="28" t="e">
        <f>(#REF!+#REF!)/2</f>
        <v>#REF!</v>
      </c>
      <c r="D9" s="28" t="e">
        <f>(#REF!+#REF!)/2</f>
        <v>#REF!</v>
      </c>
      <c r="E9" s="28" t="e">
        <f>(#REF!+#REF!)/2</f>
        <v>#REF!</v>
      </c>
      <c r="F9" s="28" t="e">
        <f>(#REF!+#REF!)/2</f>
        <v>#REF!</v>
      </c>
      <c r="G9" s="28"/>
    </row>
    <row r="10" spans="1:15" hidden="1" x14ac:dyDescent="0.2">
      <c r="A10" s="4">
        <v>2006</v>
      </c>
      <c r="B10" s="28" t="e">
        <f>(#REF!+#REF!)/2</f>
        <v>#REF!</v>
      </c>
      <c r="C10" s="28" t="e">
        <f>(#REF!+#REF!)/2</f>
        <v>#REF!</v>
      </c>
      <c r="D10" s="28" t="e">
        <f>(#REF!+#REF!)/2</f>
        <v>#REF!</v>
      </c>
      <c r="E10" s="28">
        <v>1</v>
      </c>
      <c r="F10" s="28" t="e">
        <f>(#REF!+#REF!)/2</f>
        <v>#REF!</v>
      </c>
      <c r="G10" s="28"/>
    </row>
    <row r="11" spans="1:15" x14ac:dyDescent="0.2">
      <c r="A11" s="4">
        <v>2013</v>
      </c>
      <c r="B11" s="43">
        <f>(SUMIF(Inputs!B:B,'Rate Class Customer Model'!A11,Inputs!Q:Q))/12</f>
        <v>10211.583333333334</v>
      </c>
      <c r="C11" s="43">
        <f>(SUMIF(Inputs!B:B,'Rate Class Customer Model'!A11,Inputs!S:S))/12</f>
        <v>1122.75</v>
      </c>
      <c r="D11" s="43">
        <f>(SUMIF(Inputs!B:B,'Rate Class Customer Model'!A11,Inputs!V:V))/12</f>
        <v>124.66666666666667</v>
      </c>
      <c r="E11" s="43">
        <f>(SUMIF(Inputs!B:B,'Rate Class Customer Model'!A11,Inputs!Y:Y))/12</f>
        <v>2853.9166666666665</v>
      </c>
      <c r="F11" s="43">
        <f>(SUMIF(Inputs!B:B,'Rate Class Customer Model'!A11,Inputs!AB:AB))/12</f>
        <v>156</v>
      </c>
      <c r="G11" s="43">
        <f>(SUMIF(Inputs!B:B,'Rate Class Customer Model'!A11,Inputs!AD:AD))/12</f>
        <v>103.75</v>
      </c>
      <c r="H11" s="57">
        <f t="shared" ref="H11:H22" si="0">SUM(B11:G11)</f>
        <v>14572.666666666666</v>
      </c>
    </row>
    <row r="12" spans="1:15" x14ac:dyDescent="0.2">
      <c r="A12" s="4">
        <v>2014</v>
      </c>
      <c r="B12" s="43">
        <f>(SUMIF(Inputs!B:B,'Rate Class Customer Model'!A12,Inputs!Q:Q))/12</f>
        <v>10344.166666666666</v>
      </c>
      <c r="C12" s="43">
        <f>(SUMIF(Inputs!B:B,'Rate Class Customer Model'!A12,Inputs!S:S))/12</f>
        <v>1138.4166666666667</v>
      </c>
      <c r="D12" s="43">
        <f>(SUMIF(Inputs!B:B,'Rate Class Customer Model'!A12,Inputs!V:V))/12</f>
        <v>132.08333333333334</v>
      </c>
      <c r="E12" s="43">
        <f>(SUMIF(Inputs!B:B,'Rate Class Customer Model'!A12,Inputs!Y:Y))/12</f>
        <v>2895.75</v>
      </c>
      <c r="F12" s="43">
        <f>(SUMIF(Inputs!B:B,'Rate Class Customer Model'!A12,Inputs!AB:AB))/12</f>
        <v>152.16666666666666</v>
      </c>
      <c r="G12" s="43">
        <f>(SUMIF(Inputs!B:B,'Rate Class Customer Model'!A12,Inputs!AD:AD))/12</f>
        <v>104</v>
      </c>
      <c r="H12" s="57">
        <f t="shared" si="0"/>
        <v>14766.583333333332</v>
      </c>
    </row>
    <row r="13" spans="1:15" x14ac:dyDescent="0.2">
      <c r="A13" s="4">
        <v>2015</v>
      </c>
      <c r="B13" s="43">
        <f>(SUMIF(Inputs!B:B,'Rate Class Customer Model'!A13,Inputs!Q:Q))/12</f>
        <v>10502.083333333334</v>
      </c>
      <c r="C13" s="43">
        <f>(SUMIF(Inputs!B:B,'Rate Class Customer Model'!A13,Inputs!S:S))/12</f>
        <v>1133.75</v>
      </c>
      <c r="D13" s="43">
        <f>(SUMIF(Inputs!B:B,'Rate Class Customer Model'!A13,Inputs!V:V))/12</f>
        <v>138.75</v>
      </c>
      <c r="E13" s="43">
        <f>(SUMIF(Inputs!B:B,'Rate Class Customer Model'!A13,Inputs!Y:Y))/12</f>
        <v>2916.25</v>
      </c>
      <c r="F13" s="43">
        <f>(SUMIF(Inputs!B:B,'Rate Class Customer Model'!A13,Inputs!AB:AB))/12</f>
        <v>150.83333333333334</v>
      </c>
      <c r="G13" s="43">
        <f>(SUMIF(Inputs!B:B,'Rate Class Customer Model'!A13,Inputs!AD:AD))/12</f>
        <v>96.5</v>
      </c>
      <c r="H13" s="57">
        <f t="shared" si="0"/>
        <v>14938.166666666668</v>
      </c>
    </row>
    <row r="14" spans="1:15" x14ac:dyDescent="0.2">
      <c r="A14" s="4">
        <v>2016</v>
      </c>
      <c r="B14" s="43">
        <f>(SUMIF(Inputs!B:B,'Rate Class Customer Model'!A14,Inputs!Q:Q))/12</f>
        <v>10634.083333333334</v>
      </c>
      <c r="C14" s="43">
        <f>(SUMIF(Inputs!B:B,'Rate Class Customer Model'!A14,Inputs!S:S))/12</f>
        <v>1133.0833333333333</v>
      </c>
      <c r="D14" s="43">
        <f>(SUMIF(Inputs!B:B,'Rate Class Customer Model'!A14,Inputs!V:V))/12</f>
        <v>139.91666666666666</v>
      </c>
      <c r="E14" s="43">
        <f>(SUMIF(Inputs!B:B,'Rate Class Customer Model'!A14,Inputs!Y:Y))/12</f>
        <v>2852.25</v>
      </c>
      <c r="F14" s="43">
        <f>(SUMIF(Inputs!B:B,'Rate Class Customer Model'!A14,Inputs!AB:AB))/12</f>
        <v>152.41666666666666</v>
      </c>
      <c r="G14" s="43">
        <f>(SUMIF(Inputs!B:B,'Rate Class Customer Model'!A14,Inputs!AD:AD))/12</f>
        <v>97</v>
      </c>
      <c r="H14" s="57">
        <f t="shared" si="0"/>
        <v>15008.75</v>
      </c>
    </row>
    <row r="15" spans="1:15" x14ac:dyDescent="0.2">
      <c r="A15" s="4">
        <v>2017</v>
      </c>
      <c r="B15" s="43">
        <f>(SUMIF(Inputs!B:B,'Rate Class Customer Model'!A15,Inputs!Q:Q))/12</f>
        <v>10912.666666666666</v>
      </c>
      <c r="C15" s="43">
        <f>(SUMIF(Inputs!B:B,'Rate Class Customer Model'!A15,Inputs!S:S))/12</f>
        <v>1143.1666666666667</v>
      </c>
      <c r="D15" s="43">
        <f>(SUMIF(Inputs!B:B,'Rate Class Customer Model'!A15,Inputs!V:V))/12</f>
        <v>134.33333333333334</v>
      </c>
      <c r="E15" s="43">
        <f>(SUMIF(Inputs!B:B,'Rate Class Customer Model'!A15,Inputs!Y:Y))/12</f>
        <v>2876.75</v>
      </c>
      <c r="F15" s="43">
        <f>(SUMIF(Inputs!B:B,'Rate Class Customer Model'!A15,Inputs!AB:AB))/12</f>
        <v>150.83333333333334</v>
      </c>
      <c r="G15" s="43">
        <f>(SUMIF(Inputs!B:B,'Rate Class Customer Model'!A15,Inputs!AD:AD))/12</f>
        <v>97</v>
      </c>
      <c r="H15" s="57">
        <f t="shared" si="0"/>
        <v>15314.75</v>
      </c>
    </row>
    <row r="16" spans="1:15" x14ac:dyDescent="0.2">
      <c r="A16" s="4">
        <v>2018</v>
      </c>
      <c r="B16" s="43">
        <f>(SUMIF(Inputs!B:B,'Rate Class Customer Model'!A16,Inputs!Q:Q))/12</f>
        <v>11219.083333333334</v>
      </c>
      <c r="C16" s="43">
        <f>(SUMIF(Inputs!B:B,'Rate Class Customer Model'!A16,Inputs!S:S))/12</f>
        <v>1154.5</v>
      </c>
      <c r="D16" s="43">
        <f>(SUMIF(Inputs!B:B,'Rate Class Customer Model'!A16,Inputs!V:V))/12</f>
        <v>135.91666666666666</v>
      </c>
      <c r="E16" s="43">
        <f>(SUMIF(Inputs!B:B,'Rate Class Customer Model'!A16,Inputs!Y:Y))/12</f>
        <v>2900</v>
      </c>
      <c r="F16" s="43">
        <f>(SUMIF(Inputs!B:B,'Rate Class Customer Model'!A16,Inputs!AB:AB))/12</f>
        <v>153.66666666666666</v>
      </c>
      <c r="G16" s="43">
        <f>(SUMIF(Inputs!B:B,'Rate Class Customer Model'!A16,Inputs!AD:AD))/12</f>
        <v>97</v>
      </c>
      <c r="H16" s="57">
        <f t="shared" si="0"/>
        <v>15660.166666666666</v>
      </c>
    </row>
    <row r="17" spans="1:9" x14ac:dyDescent="0.2">
      <c r="A17" s="4">
        <v>2019</v>
      </c>
      <c r="B17" s="43">
        <f>(SUMIF(Inputs!B:B,'Rate Class Customer Model'!A17,Inputs!Q:Q))/12</f>
        <v>11336</v>
      </c>
      <c r="C17" s="43">
        <f>(SUMIF(Inputs!B:B,'Rate Class Customer Model'!A17,Inputs!S:S))/12</f>
        <v>1164.0833333333333</v>
      </c>
      <c r="D17" s="43">
        <f>(SUMIF(Inputs!B:B,'Rate Class Customer Model'!A17,Inputs!V:V))/12</f>
        <v>132.25</v>
      </c>
      <c r="E17" s="43">
        <f>(SUMIF(Inputs!B:B,'Rate Class Customer Model'!A17,Inputs!Y:Y))/12</f>
        <v>2939</v>
      </c>
      <c r="F17" s="43">
        <f>(SUMIF(Inputs!B:B,'Rate Class Customer Model'!A17,Inputs!AB:AB))/12</f>
        <v>155.5</v>
      </c>
      <c r="G17" s="43">
        <f>(SUMIF(Inputs!B:B,'Rate Class Customer Model'!A17,Inputs!AD:AD))/12</f>
        <v>97</v>
      </c>
      <c r="H17" s="57">
        <f t="shared" si="0"/>
        <v>15823.833333333334</v>
      </c>
    </row>
    <row r="18" spans="1:9" x14ac:dyDescent="0.2">
      <c r="A18" s="4">
        <v>2020</v>
      </c>
      <c r="B18" s="43">
        <f>(SUMIF(Inputs!B:B,'Rate Class Customer Model'!A18,Inputs!Q:Q))/12</f>
        <v>11381.916666666666</v>
      </c>
      <c r="C18" s="43">
        <f>(SUMIF(Inputs!B:B,'Rate Class Customer Model'!A18,Inputs!S:S))/12</f>
        <v>1163.8333333333333</v>
      </c>
      <c r="D18" s="43">
        <f>(SUMIF(Inputs!B:B,'Rate Class Customer Model'!A18,Inputs!V:V))/12</f>
        <v>122.08333333333333</v>
      </c>
      <c r="E18" s="43">
        <f>(SUMIF(Inputs!B:B,'Rate Class Customer Model'!A18,Inputs!Y:Y))/12</f>
        <v>2944.1666666666665</v>
      </c>
      <c r="F18" s="43">
        <f>(SUMIF(Inputs!B:B,'Rate Class Customer Model'!A18,Inputs!AB:AB))/12</f>
        <v>157.66666666666666</v>
      </c>
      <c r="G18" s="43">
        <f>(SUMIF(Inputs!B:B,'Rate Class Customer Model'!A18,Inputs!AD:AD))/12</f>
        <v>97</v>
      </c>
      <c r="H18" s="57">
        <f t="shared" si="0"/>
        <v>15866.666666666666</v>
      </c>
    </row>
    <row r="19" spans="1:9" x14ac:dyDescent="0.2">
      <c r="A19" s="4">
        <v>2021</v>
      </c>
      <c r="B19" s="43">
        <f>(SUMIF(Inputs!B:B,'Rate Class Customer Model'!A19,Inputs!Q:Q))/12</f>
        <v>11468.75</v>
      </c>
      <c r="C19" s="43">
        <f>(SUMIF(Inputs!B:B,'Rate Class Customer Model'!A19,Inputs!S:S))/12</f>
        <v>1166.5833333333333</v>
      </c>
      <c r="D19" s="43">
        <f>(SUMIF(Inputs!B:B,'Rate Class Customer Model'!A19,Inputs!V:V))/12</f>
        <v>126</v>
      </c>
      <c r="E19" s="43">
        <f>(SUMIF(Inputs!B:B,'Rate Class Customer Model'!A19,Inputs!Y:Y))/12</f>
        <v>2965.9166666666665</v>
      </c>
      <c r="F19" s="43">
        <f>(SUMIF(Inputs!B:B,'Rate Class Customer Model'!A19,Inputs!AB:AB))/12</f>
        <v>158</v>
      </c>
      <c r="G19" s="43">
        <f>(SUMIF(Inputs!B:B,'Rate Class Customer Model'!A19,Inputs!AD:AD))/12</f>
        <v>98</v>
      </c>
      <c r="H19" s="57">
        <f t="shared" si="0"/>
        <v>15983.25</v>
      </c>
    </row>
    <row r="20" spans="1:9" x14ac:dyDescent="0.2">
      <c r="A20" s="4">
        <v>2022</v>
      </c>
      <c r="B20" s="43">
        <f>(SUMIF(Inputs!B:B,'Rate Class Customer Model'!A20,Inputs!Q:Q))/12</f>
        <v>11526.25</v>
      </c>
      <c r="C20" s="43">
        <f>(SUMIF(Inputs!B:B,'Rate Class Customer Model'!A20,Inputs!S:S))/12</f>
        <v>1166.5</v>
      </c>
      <c r="D20" s="43">
        <f>(SUMIF(Inputs!B:B,'Rate Class Customer Model'!A20,Inputs!V:V))/12</f>
        <v>125.75</v>
      </c>
      <c r="E20" s="43">
        <f>(SUMIF(Inputs!B:B,'Rate Class Customer Model'!A20,Inputs!Y:Y))/12</f>
        <v>2985</v>
      </c>
      <c r="F20" s="43">
        <f>(SUMIF(Inputs!B:B,'Rate Class Customer Model'!A20,Inputs!AB:AB))/12</f>
        <v>157.25</v>
      </c>
      <c r="G20" s="43">
        <f>(SUMIF(Inputs!B:B,'Rate Class Customer Model'!A20,Inputs!AD:AD))/12</f>
        <v>98</v>
      </c>
      <c r="H20" s="57">
        <f t="shared" si="0"/>
        <v>16058.75</v>
      </c>
    </row>
    <row r="21" spans="1:9" x14ac:dyDescent="0.2">
      <c r="A21" s="4">
        <v>2023</v>
      </c>
      <c r="B21" s="43">
        <f>(SUMIF(Inputs!B:B,'Rate Class Customer Model'!A21,Inputs!Q:Q))/12</f>
        <v>11612.666666666666</v>
      </c>
      <c r="C21" s="43">
        <f>(SUMIF(Inputs!B:B,'Rate Class Customer Model'!A21,Inputs!S:S))/12</f>
        <v>1164.25</v>
      </c>
      <c r="D21" s="43">
        <f>(SUMIF(Inputs!B:B,'Rate Class Customer Model'!A21,Inputs!V:V))/12</f>
        <v>126</v>
      </c>
      <c r="E21" s="43">
        <f>(SUMIF(Inputs!B:B,'Rate Class Customer Model'!A21,Inputs!Y:Y))/12</f>
        <v>2963</v>
      </c>
      <c r="F21" s="43">
        <f>(SUMIF(Inputs!B:B,'Rate Class Customer Model'!A21,Inputs!AB:AB))/12</f>
        <v>157</v>
      </c>
      <c r="G21" s="43">
        <f>(SUMIF(Inputs!B:B,'Rate Class Customer Model'!A21,Inputs!AD:AD))/12</f>
        <v>97</v>
      </c>
      <c r="H21" s="57">
        <f t="shared" si="0"/>
        <v>16119.916666666666</v>
      </c>
      <c r="I21" s="47" t="s">
        <v>273</v>
      </c>
    </row>
    <row r="22" spans="1:9" x14ac:dyDescent="0.2">
      <c r="A22" s="4">
        <v>2024</v>
      </c>
      <c r="B22" s="222">
        <f>Inputs!Q134+145/2</f>
        <v>11740.5</v>
      </c>
      <c r="C22" s="69">
        <f t="shared" ref="C22:G22" si="1">C21*C37</f>
        <v>1168.4834481663743</v>
      </c>
      <c r="D22" s="69">
        <f t="shared" si="1"/>
        <v>126.13411514324987</v>
      </c>
      <c r="E22" s="69">
        <f t="shared" si="1"/>
        <v>2974.135068550856</v>
      </c>
      <c r="F22" s="69">
        <f t="shared" si="1"/>
        <v>157.10035188815147</v>
      </c>
      <c r="G22" s="69">
        <f t="shared" si="1"/>
        <v>96.349640189523058</v>
      </c>
      <c r="H22" s="57">
        <f t="shared" si="0"/>
        <v>16262.702623938154</v>
      </c>
    </row>
    <row r="23" spans="1:9" x14ac:dyDescent="0.2">
      <c r="A23" s="15"/>
    </row>
    <row r="24" spans="1:9" x14ac:dyDescent="0.2">
      <c r="A24" s="15" t="s">
        <v>41</v>
      </c>
      <c r="B24" s="5"/>
      <c r="C24" s="5"/>
      <c r="D24" s="5"/>
      <c r="E24" s="5"/>
      <c r="F24" s="18"/>
      <c r="G24" s="18"/>
    </row>
    <row r="25" spans="1:9" x14ac:dyDescent="0.2">
      <c r="A25" s="46" t="s">
        <v>178</v>
      </c>
      <c r="B25" s="18"/>
      <c r="C25" s="18"/>
      <c r="D25" s="18"/>
      <c r="E25" s="18"/>
      <c r="F25" s="18"/>
      <c r="G25" s="18"/>
    </row>
    <row r="26" spans="1:9" x14ac:dyDescent="0.2">
      <c r="A26" s="4">
        <f>+A12</f>
        <v>2014</v>
      </c>
      <c r="B26" s="18">
        <f>B12/B11</f>
        <v>1.0129836215408972</v>
      </c>
      <c r="C26" s="18">
        <f t="shared" ref="C26:G26" si="2">C12/C11</f>
        <v>1.0139538335931122</v>
      </c>
      <c r="D26" s="18">
        <f t="shared" si="2"/>
        <v>1.0594919786096257</v>
      </c>
      <c r="E26" s="18">
        <f t="shared" si="2"/>
        <v>1.0146582182380939</v>
      </c>
      <c r="F26" s="18">
        <f t="shared" si="2"/>
        <v>0.9754273504273504</v>
      </c>
      <c r="G26" s="18">
        <f t="shared" si="2"/>
        <v>1.0024096385542169</v>
      </c>
    </row>
    <row r="27" spans="1:9" x14ac:dyDescent="0.2">
      <c r="A27" s="4">
        <f t="shared" ref="A27:A34" si="3">+A13</f>
        <v>2015</v>
      </c>
      <c r="B27" s="18">
        <f t="shared" ref="B27:B33" si="4">B13/B12</f>
        <v>1.0152662531217274</v>
      </c>
      <c r="C27" s="18">
        <f t="shared" ref="C27:G27" si="5">C13/C12</f>
        <v>0.99590073933094203</v>
      </c>
      <c r="D27" s="18">
        <f t="shared" si="5"/>
        <v>1.0504731861198737</v>
      </c>
      <c r="E27" s="18">
        <f t="shared" si="5"/>
        <v>1.0070793404126737</v>
      </c>
      <c r="F27" s="18">
        <f t="shared" si="5"/>
        <v>0.99123767798466611</v>
      </c>
      <c r="G27" s="18">
        <f t="shared" si="5"/>
        <v>0.92788461538461542</v>
      </c>
    </row>
    <row r="28" spans="1:9" x14ac:dyDescent="0.2">
      <c r="A28" s="4">
        <f t="shared" si="3"/>
        <v>2016</v>
      </c>
      <c r="B28" s="18">
        <f t="shared" si="4"/>
        <v>1.0125689347351716</v>
      </c>
      <c r="C28" s="18">
        <f t="shared" ref="C28:G28" si="6">C14/C13</f>
        <v>0.99941198088937888</v>
      </c>
      <c r="D28" s="18">
        <f t="shared" si="6"/>
        <v>1.0084084084084084</v>
      </c>
      <c r="E28" s="18">
        <f t="shared" si="6"/>
        <v>0.97805400771538786</v>
      </c>
      <c r="F28" s="18">
        <f t="shared" si="6"/>
        <v>1.0104972375690606</v>
      </c>
      <c r="G28" s="18">
        <f t="shared" si="6"/>
        <v>1.0051813471502591</v>
      </c>
    </row>
    <row r="29" spans="1:9" x14ac:dyDescent="0.2">
      <c r="A29" s="4">
        <f t="shared" si="3"/>
        <v>2017</v>
      </c>
      <c r="B29" s="18">
        <f t="shared" si="4"/>
        <v>1.0261972117954061</v>
      </c>
      <c r="C29" s="18">
        <f t="shared" ref="C29:G29" si="7">C15/C14</f>
        <v>1.0088990218430538</v>
      </c>
      <c r="D29" s="18">
        <f t="shared" si="7"/>
        <v>0.96009529481834444</v>
      </c>
      <c r="E29" s="18">
        <f t="shared" si="7"/>
        <v>1.0085897098781664</v>
      </c>
      <c r="F29" s="18">
        <f t="shared" si="7"/>
        <v>0.98961180973209417</v>
      </c>
      <c r="G29" s="18">
        <f t="shared" si="7"/>
        <v>1</v>
      </c>
    </row>
    <row r="30" spans="1:9" x14ac:dyDescent="0.2">
      <c r="A30" s="4">
        <f t="shared" si="3"/>
        <v>2018</v>
      </c>
      <c r="B30" s="18">
        <f>B16/B15</f>
        <v>1.0280789907752459</v>
      </c>
      <c r="C30" s="18">
        <f t="shared" ref="C30:G30" si="8">C16/C15</f>
        <v>1.0099139816299751</v>
      </c>
      <c r="D30" s="18">
        <f t="shared" si="8"/>
        <v>1.0117866004962777</v>
      </c>
      <c r="E30" s="18">
        <f t="shared" si="8"/>
        <v>1.0080820370209438</v>
      </c>
      <c r="F30" s="18">
        <f t="shared" si="8"/>
        <v>1.0187845303867402</v>
      </c>
      <c r="G30" s="18">
        <f t="shared" si="8"/>
        <v>1</v>
      </c>
    </row>
    <row r="31" spans="1:9" x14ac:dyDescent="0.2">
      <c r="A31" s="4">
        <f t="shared" si="3"/>
        <v>2019</v>
      </c>
      <c r="B31" s="18">
        <f t="shared" si="4"/>
        <v>1.0104212316811385</v>
      </c>
      <c r="C31" s="18">
        <f t="shared" ref="C31:G31" si="9">C17/C16</f>
        <v>1.0083008517395697</v>
      </c>
      <c r="D31" s="18">
        <f t="shared" si="9"/>
        <v>0.97302268546903747</v>
      </c>
      <c r="E31" s="18">
        <f t="shared" si="9"/>
        <v>1.0134482758620689</v>
      </c>
      <c r="F31" s="18">
        <f t="shared" si="9"/>
        <v>1.0119305856832972</v>
      </c>
      <c r="G31" s="18">
        <f t="shared" si="9"/>
        <v>1</v>
      </c>
    </row>
    <row r="32" spans="1:9" x14ac:dyDescent="0.2">
      <c r="A32" s="4">
        <f t="shared" si="3"/>
        <v>2020</v>
      </c>
      <c r="B32" s="18">
        <f t="shared" si="4"/>
        <v>1.0040505175252881</v>
      </c>
      <c r="C32" s="18">
        <f t="shared" ref="C32:G32" si="10">C18/C17</f>
        <v>0.99978523874293079</v>
      </c>
      <c r="D32" s="18">
        <f t="shared" si="10"/>
        <v>0.92312539382482672</v>
      </c>
      <c r="E32" s="18">
        <f t="shared" si="10"/>
        <v>1.0017579675626629</v>
      </c>
      <c r="F32" s="18">
        <f t="shared" si="10"/>
        <v>1.0139335476956055</v>
      </c>
      <c r="G32" s="18">
        <f t="shared" si="10"/>
        <v>1</v>
      </c>
    </row>
    <row r="33" spans="1:8" x14ac:dyDescent="0.2">
      <c r="A33" s="4">
        <f t="shared" si="3"/>
        <v>2021</v>
      </c>
      <c r="B33" s="18">
        <f t="shared" si="4"/>
        <v>1.007629060717659</v>
      </c>
      <c r="C33" s="18">
        <f t="shared" ref="C33:G33" si="11">C19/C18</f>
        <v>1.0023628812831162</v>
      </c>
      <c r="D33" s="18">
        <f t="shared" si="11"/>
        <v>1.0320819112627986</v>
      </c>
      <c r="E33" s="18">
        <f t="shared" si="11"/>
        <v>1.007387489385791</v>
      </c>
      <c r="F33" s="18">
        <f t="shared" si="11"/>
        <v>1.0021141649048626</v>
      </c>
      <c r="G33" s="18">
        <f t="shared" si="11"/>
        <v>1.0103092783505154</v>
      </c>
    </row>
    <row r="34" spans="1:8" x14ac:dyDescent="0.2">
      <c r="A34" s="4">
        <f t="shared" si="3"/>
        <v>2022</v>
      </c>
      <c r="B34" s="18">
        <f>B20/B19</f>
        <v>1.0050136239782017</v>
      </c>
      <c r="C34" s="18">
        <f t="shared" ref="C34:G35" si="12">C20/C19</f>
        <v>0.99992856632616622</v>
      </c>
      <c r="D34" s="18">
        <f t="shared" si="12"/>
        <v>0.99801587301587302</v>
      </c>
      <c r="E34" s="18">
        <f t="shared" si="12"/>
        <v>1.0064342108960131</v>
      </c>
      <c r="F34" s="18">
        <f t="shared" si="12"/>
        <v>0.995253164556962</v>
      </c>
      <c r="G34" s="18">
        <f t="shared" si="12"/>
        <v>1</v>
      </c>
    </row>
    <row r="35" spans="1:8" x14ac:dyDescent="0.2">
      <c r="A35" s="4">
        <v>2023</v>
      </c>
      <c r="B35" s="18">
        <f>B21/B20</f>
        <v>1.0074973791707333</v>
      </c>
      <c r="C35" s="18">
        <f t="shared" si="12"/>
        <v>0.99807115302186022</v>
      </c>
      <c r="D35" s="18">
        <f t="shared" si="12"/>
        <v>1.0019880715705765</v>
      </c>
      <c r="E35" s="18">
        <f t="shared" si="12"/>
        <v>0.99262981574539366</v>
      </c>
      <c r="F35" s="18">
        <f t="shared" si="12"/>
        <v>0.99841017488076311</v>
      </c>
      <c r="G35" s="18">
        <f t="shared" si="12"/>
        <v>0.98979591836734693</v>
      </c>
    </row>
    <row r="36" spans="1:8" x14ac:dyDescent="0.2">
      <c r="A36">
        <v>2024</v>
      </c>
      <c r="B36" s="18">
        <f t="shared" ref="B36" si="13">B22/B21</f>
        <v>1.0110080946093347</v>
      </c>
    </row>
    <row r="37" spans="1:8" x14ac:dyDescent="0.2">
      <c r="A37" t="s">
        <v>55</v>
      </c>
      <c r="B37" s="83">
        <f>B39</f>
        <v>1.0129403873976082</v>
      </c>
      <c r="C37" s="83">
        <f t="shared" ref="C37:E37" si="14">C39</f>
        <v>1.003636201989585</v>
      </c>
      <c r="D37" s="83">
        <f t="shared" si="14"/>
        <v>1.0010644058988085</v>
      </c>
      <c r="E37" s="83">
        <f t="shared" si="14"/>
        <v>1.0037580386604306</v>
      </c>
      <c r="F37" s="83">
        <f>+F39</f>
        <v>1.0006391840009647</v>
      </c>
      <c r="G37" s="83">
        <f>+G39</f>
        <v>0.99329525968580479</v>
      </c>
      <c r="H37" s="47" t="s">
        <v>97</v>
      </c>
    </row>
    <row r="38" spans="1:8" x14ac:dyDescent="0.2">
      <c r="B38" s="19"/>
      <c r="C38" s="19"/>
      <c r="D38" s="19"/>
      <c r="E38" s="19"/>
      <c r="F38" s="19"/>
      <c r="G38" s="19"/>
    </row>
    <row r="39" spans="1:8" x14ac:dyDescent="0.2">
      <c r="A39" t="s">
        <v>16</v>
      </c>
      <c r="B39" s="214">
        <f>IF(B20="",0,GEOMEAN(B26:B35))</f>
        <v>1.0129403873976082</v>
      </c>
      <c r="C39" s="214">
        <f t="shared" ref="C39:G39" si="15">IF(C20="",0,GEOMEAN(C26:C35))</f>
        <v>1.003636201989585</v>
      </c>
      <c r="D39" s="214">
        <f t="shared" si="15"/>
        <v>1.0010644058988085</v>
      </c>
      <c r="E39" s="214">
        <f t="shared" si="15"/>
        <v>1.0037580386604306</v>
      </c>
      <c r="F39" s="214">
        <f t="shared" si="15"/>
        <v>1.0006391840009647</v>
      </c>
      <c r="G39" s="214">
        <f t="shared" si="15"/>
        <v>0.99329525968580479</v>
      </c>
      <c r="H39" s="47" t="s">
        <v>278</v>
      </c>
    </row>
    <row r="40" spans="1:8" x14ac:dyDescent="0.2">
      <c r="A40" s="4"/>
      <c r="B40" s="19"/>
      <c r="C40" s="19"/>
      <c r="D40" s="19"/>
      <c r="E40" s="19"/>
      <c r="F40" s="19"/>
      <c r="G40" s="19"/>
    </row>
    <row r="41" spans="1:8" x14ac:dyDescent="0.2">
      <c r="B41"/>
      <c r="C41"/>
      <c r="D41"/>
      <c r="E41"/>
      <c r="F41"/>
      <c r="G41"/>
    </row>
    <row r="42" spans="1:8" x14ac:dyDescent="0.2">
      <c r="A42" s="210" t="s">
        <v>271</v>
      </c>
      <c r="B42" s="206"/>
      <c r="C42" s="206"/>
      <c r="D42" s="206"/>
      <c r="E42" s="206"/>
      <c r="F42" s="206"/>
      <c r="G42" s="206"/>
    </row>
    <row r="43" spans="1:8" ht="25.5" x14ac:dyDescent="0.2">
      <c r="A43" s="215" t="s">
        <v>272</v>
      </c>
      <c r="B43" s="216" t="str">
        <f>+B2</f>
        <v xml:space="preserve">Residential </v>
      </c>
      <c r="C43" s="216" t="str">
        <f t="shared" ref="C43:G43" si="16">+C2</f>
        <v>General Service &lt; 50 kW</v>
      </c>
      <c r="D43" s="216" t="str">
        <f t="shared" si="16"/>
        <v>General Service &gt; 50 to 999 kW</v>
      </c>
      <c r="E43" s="216" t="str">
        <f t="shared" si="16"/>
        <v>Street Lights</v>
      </c>
      <c r="F43" s="216" t="str">
        <f t="shared" si="16"/>
        <v>Sentinel Lights</v>
      </c>
      <c r="G43" s="216" t="str">
        <f t="shared" si="16"/>
        <v xml:space="preserve">Unmetered Loads </v>
      </c>
    </row>
    <row r="44" spans="1:8" x14ac:dyDescent="0.2">
      <c r="A44" s="210">
        <v>44927</v>
      </c>
      <c r="B44" s="211">
        <f>+Inputs!Q123</f>
        <v>11561</v>
      </c>
      <c r="C44" s="211">
        <f>+Inputs!S123</f>
        <v>1161</v>
      </c>
      <c r="D44" s="211">
        <f>+Inputs!V123</f>
        <v>125</v>
      </c>
      <c r="E44" s="211">
        <f>+Inputs!Y123</f>
        <v>2985</v>
      </c>
      <c r="F44" s="211">
        <f>+Inputs!AB123</f>
        <v>157</v>
      </c>
      <c r="G44" s="211">
        <f>+Inputs!AD123</f>
        <v>98</v>
      </c>
    </row>
    <row r="45" spans="1:8" x14ac:dyDescent="0.2">
      <c r="A45" s="210">
        <v>44958</v>
      </c>
      <c r="B45" s="211">
        <f>+Inputs!Q124</f>
        <v>11570</v>
      </c>
      <c r="C45" s="211">
        <f>+Inputs!S124</f>
        <v>1159</v>
      </c>
      <c r="D45" s="211">
        <f>+Inputs!V124</f>
        <v>126</v>
      </c>
      <c r="E45" s="211">
        <f>+Inputs!Y124</f>
        <v>2985</v>
      </c>
      <c r="F45" s="211">
        <f>+Inputs!AB124</f>
        <v>157</v>
      </c>
      <c r="G45" s="211">
        <f>+Inputs!AD124</f>
        <v>98</v>
      </c>
    </row>
    <row r="46" spans="1:8" x14ac:dyDescent="0.2">
      <c r="A46" s="210">
        <v>44986</v>
      </c>
      <c r="B46" s="211">
        <f>+Inputs!Q125</f>
        <v>11579</v>
      </c>
      <c r="C46" s="211">
        <f>+Inputs!S125</f>
        <v>1160</v>
      </c>
      <c r="D46" s="211">
        <f>+Inputs!V125</f>
        <v>126</v>
      </c>
      <c r="E46" s="211">
        <f>+Inputs!Y125</f>
        <v>2985</v>
      </c>
      <c r="F46" s="211">
        <f>+Inputs!AB125</f>
        <v>157</v>
      </c>
      <c r="G46" s="211">
        <f>+Inputs!AD125</f>
        <v>98</v>
      </c>
    </row>
    <row r="47" spans="1:8" x14ac:dyDescent="0.2">
      <c r="A47" s="210">
        <v>45017</v>
      </c>
      <c r="B47" s="211">
        <f>+Inputs!Q126</f>
        <v>11585</v>
      </c>
      <c r="C47" s="211">
        <f>+Inputs!S126</f>
        <v>1160</v>
      </c>
      <c r="D47" s="211">
        <f>+Inputs!V126</f>
        <v>126</v>
      </c>
      <c r="E47" s="211">
        <f>+Inputs!Y126</f>
        <v>2985</v>
      </c>
      <c r="F47" s="211">
        <f>+Inputs!AB126</f>
        <v>157</v>
      </c>
      <c r="G47" s="211">
        <f>+Inputs!AD126</f>
        <v>98</v>
      </c>
    </row>
    <row r="48" spans="1:8" x14ac:dyDescent="0.2">
      <c r="A48" s="210">
        <v>45047</v>
      </c>
      <c r="B48" s="211">
        <f>+Inputs!Q127</f>
        <v>11595</v>
      </c>
      <c r="C48" s="211">
        <f>+Inputs!S127</f>
        <v>1158</v>
      </c>
      <c r="D48" s="211">
        <f>+Inputs!V127</f>
        <v>126</v>
      </c>
      <c r="E48" s="211">
        <f>+Inputs!Y127</f>
        <v>2952</v>
      </c>
      <c r="F48" s="211">
        <f>+Inputs!AB127</f>
        <v>157</v>
      </c>
      <c r="G48" s="211">
        <f>+Inputs!AD127</f>
        <v>98</v>
      </c>
    </row>
    <row r="49" spans="1:7" x14ac:dyDescent="0.2">
      <c r="A49" s="210">
        <v>45078</v>
      </c>
      <c r="B49" s="211">
        <f>+Inputs!Q128</f>
        <v>11595</v>
      </c>
      <c r="C49" s="211">
        <f>+Inputs!S128</f>
        <v>1158</v>
      </c>
      <c r="D49" s="211">
        <f>+Inputs!V128</f>
        <v>126</v>
      </c>
      <c r="E49" s="211">
        <f>+Inputs!Y128</f>
        <v>2952</v>
      </c>
      <c r="F49" s="211">
        <f>+Inputs!AB128</f>
        <v>157</v>
      </c>
      <c r="G49" s="211">
        <f>+Inputs!AD128</f>
        <v>98</v>
      </c>
    </row>
    <row r="50" spans="1:7" x14ac:dyDescent="0.2">
      <c r="A50" s="210">
        <v>45108</v>
      </c>
      <c r="B50" s="211">
        <f>+Inputs!Q129</f>
        <v>11613</v>
      </c>
      <c r="C50" s="211">
        <f>+Inputs!S129</f>
        <v>1158</v>
      </c>
      <c r="D50" s="211">
        <f>+Inputs!V129</f>
        <v>126</v>
      </c>
      <c r="E50" s="211">
        <f>+Inputs!Y129</f>
        <v>2952</v>
      </c>
      <c r="F50" s="211">
        <f>+Inputs!AB129</f>
        <v>157</v>
      </c>
      <c r="G50" s="211">
        <f>+Inputs!AD129</f>
        <v>98</v>
      </c>
    </row>
    <row r="51" spans="1:7" x14ac:dyDescent="0.2">
      <c r="A51" s="210">
        <v>45139</v>
      </c>
      <c r="B51" s="211">
        <f>+Inputs!Q130</f>
        <v>11622</v>
      </c>
      <c r="C51" s="211">
        <f>+Inputs!S130</f>
        <v>1158</v>
      </c>
      <c r="D51" s="211">
        <f>+Inputs!V130</f>
        <v>126</v>
      </c>
      <c r="E51" s="211">
        <f>+Inputs!Y130</f>
        <v>2952</v>
      </c>
      <c r="F51" s="211">
        <f>+Inputs!AB130</f>
        <v>157</v>
      </c>
      <c r="G51" s="211">
        <f>+Inputs!AD130</f>
        <v>98</v>
      </c>
    </row>
    <row r="52" spans="1:7" x14ac:dyDescent="0.2">
      <c r="A52" s="210">
        <v>45170</v>
      </c>
      <c r="B52" s="211">
        <f>+Inputs!Q131</f>
        <v>11639</v>
      </c>
      <c r="C52" s="211">
        <f>+Inputs!S131</f>
        <v>1175</v>
      </c>
      <c r="D52" s="211">
        <f>+Inputs!V131</f>
        <v>126</v>
      </c>
      <c r="E52" s="211">
        <f>+Inputs!Y131</f>
        <v>2952</v>
      </c>
      <c r="F52" s="211">
        <f>+Inputs!AB131</f>
        <v>157</v>
      </c>
      <c r="G52" s="211">
        <f>+Inputs!AD131</f>
        <v>95</v>
      </c>
    </row>
    <row r="53" spans="1:7" x14ac:dyDescent="0.2">
      <c r="A53" s="210">
        <v>45200</v>
      </c>
      <c r="B53" s="211">
        <f>+Inputs!Q132</f>
        <v>11657</v>
      </c>
      <c r="C53" s="211">
        <f>+Inputs!S132</f>
        <v>1174</v>
      </c>
      <c r="D53" s="211">
        <f>+Inputs!V132</f>
        <v>126</v>
      </c>
      <c r="E53" s="211">
        <f>+Inputs!Y132</f>
        <v>2952</v>
      </c>
      <c r="F53" s="211">
        <f>+Inputs!AB132</f>
        <v>157</v>
      </c>
      <c r="G53" s="211">
        <f>+Inputs!AD132</f>
        <v>95</v>
      </c>
    </row>
    <row r="54" spans="1:7" x14ac:dyDescent="0.2">
      <c r="A54" s="210">
        <v>45231</v>
      </c>
      <c r="B54" s="211">
        <f>+Inputs!Q133</f>
        <v>11668</v>
      </c>
      <c r="C54" s="211">
        <f>+Inputs!S133</f>
        <v>1175</v>
      </c>
      <c r="D54" s="211">
        <f>+Inputs!V133</f>
        <v>126</v>
      </c>
      <c r="E54" s="211">
        <f>+Inputs!Y133</f>
        <v>2952</v>
      </c>
      <c r="F54" s="211">
        <f>+Inputs!AB133</f>
        <v>157</v>
      </c>
      <c r="G54" s="211">
        <f>+Inputs!AD133</f>
        <v>95</v>
      </c>
    </row>
    <row r="55" spans="1:7" x14ac:dyDescent="0.2">
      <c r="A55" s="210">
        <v>45261</v>
      </c>
      <c r="B55" s="211">
        <f>+Inputs!Q134</f>
        <v>11668</v>
      </c>
      <c r="C55" s="211">
        <f>+Inputs!S134</f>
        <v>1175</v>
      </c>
      <c r="D55" s="211">
        <f>+Inputs!V134</f>
        <v>127</v>
      </c>
      <c r="E55" s="211">
        <f>+Inputs!Y134</f>
        <v>2952</v>
      </c>
      <c r="F55" s="211">
        <f>+Inputs!AB134</f>
        <v>157</v>
      </c>
      <c r="G55" s="211">
        <f>+Inputs!AD134</f>
        <v>95</v>
      </c>
    </row>
    <row r="56" spans="1:7" x14ac:dyDescent="0.2">
      <c r="A56" s="198"/>
      <c r="B56" s="206"/>
      <c r="C56" s="206"/>
      <c r="D56" s="206"/>
      <c r="E56" s="206"/>
      <c r="F56" s="206"/>
      <c r="G56" s="206"/>
    </row>
    <row r="57" spans="1:7" x14ac:dyDescent="0.2">
      <c r="A57" s="210" t="s">
        <v>267</v>
      </c>
      <c r="B57" s="212">
        <f>AVERAGE(B44:B55)</f>
        <v>11612.666666666666</v>
      </c>
      <c r="C57" s="212">
        <f t="shared" ref="C57:G57" si="17">AVERAGE(C44:C55)</f>
        <v>1164.25</v>
      </c>
      <c r="D57" s="212">
        <f t="shared" si="17"/>
        <v>126</v>
      </c>
      <c r="E57" s="212">
        <f t="shared" si="17"/>
        <v>2963</v>
      </c>
      <c r="F57" s="212">
        <f t="shared" si="17"/>
        <v>157</v>
      </c>
      <c r="G57" s="212">
        <f t="shared" si="17"/>
        <v>97</v>
      </c>
    </row>
    <row r="58" spans="1:7" x14ac:dyDescent="0.2">
      <c r="A58" s="213" t="s">
        <v>268</v>
      </c>
      <c r="B58" s="214">
        <f t="shared" ref="B58:G58" si="18">+B57/B20</f>
        <v>1.0074973791707333</v>
      </c>
      <c r="C58" s="214">
        <f t="shared" si="18"/>
        <v>0.99807115302186022</v>
      </c>
      <c r="D58" s="214">
        <f t="shared" si="18"/>
        <v>1.0019880715705765</v>
      </c>
      <c r="E58" s="214">
        <f t="shared" si="18"/>
        <v>0.99262981574539366</v>
      </c>
      <c r="F58" s="214">
        <f t="shared" si="18"/>
        <v>0.99841017488076311</v>
      </c>
      <c r="G58" s="214">
        <f t="shared" si="18"/>
        <v>0.98979591836734693</v>
      </c>
    </row>
    <row r="59" spans="1:7" x14ac:dyDescent="0.2">
      <c r="A59" s="213" t="s">
        <v>269</v>
      </c>
      <c r="B59" s="214">
        <f t="shared" ref="B59:G59" si="19">GEOMEAN(B26:B34,B58)</f>
        <v>1.0129403873976082</v>
      </c>
      <c r="C59" s="214">
        <f t="shared" si="19"/>
        <v>1.003636201989585</v>
      </c>
      <c r="D59" s="214">
        <f t="shared" si="19"/>
        <v>1.0010644058988085</v>
      </c>
      <c r="E59" s="214">
        <f t="shared" si="19"/>
        <v>1.0037580386604306</v>
      </c>
      <c r="F59" s="214">
        <f t="shared" si="19"/>
        <v>1.0006391840009647</v>
      </c>
      <c r="G59" s="214">
        <f t="shared" si="19"/>
        <v>0.99329525968580479</v>
      </c>
    </row>
    <row r="60" spans="1:7" x14ac:dyDescent="0.2">
      <c r="A60" s="206"/>
      <c r="B60" s="212"/>
      <c r="C60" s="206"/>
      <c r="D60" s="206"/>
      <c r="E60" s="206"/>
      <c r="F60" s="206"/>
      <c r="G60" s="206"/>
    </row>
    <row r="61" spans="1:7" x14ac:dyDescent="0.2">
      <c r="A61" s="213" t="s">
        <v>270</v>
      </c>
      <c r="B61" s="211">
        <f>ROUND(B57*B59,0)</f>
        <v>11763</v>
      </c>
      <c r="C61" s="211">
        <f t="shared" ref="C61:G61" si="20">ROUND(C57*C59,0)</f>
        <v>1168</v>
      </c>
      <c r="D61" s="211">
        <f t="shared" si="20"/>
        <v>126</v>
      </c>
      <c r="E61" s="211">
        <f t="shared" si="20"/>
        <v>2974</v>
      </c>
      <c r="F61" s="211">
        <f t="shared" si="20"/>
        <v>157</v>
      </c>
      <c r="G61" s="211">
        <f t="shared" si="20"/>
        <v>96</v>
      </c>
    </row>
    <row r="62" spans="1:7" x14ac:dyDescent="0.2">
      <c r="B62"/>
      <c r="C62"/>
      <c r="D62"/>
      <c r="E62"/>
      <c r="F62"/>
      <c r="G62"/>
    </row>
    <row r="63" spans="1:7" x14ac:dyDescent="0.2">
      <c r="B63"/>
      <c r="C63"/>
      <c r="D63"/>
      <c r="E63"/>
      <c r="F63"/>
      <c r="G63"/>
    </row>
    <row r="64" spans="1:7" x14ac:dyDescent="0.2">
      <c r="B64"/>
      <c r="C64"/>
      <c r="D64"/>
      <c r="E64"/>
      <c r="F64"/>
      <c r="G64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</sheetData>
  <mergeCells count="1">
    <mergeCell ref="B1:G1"/>
  </mergeCells>
  <phoneticPr fontId="0" type="noConversion"/>
  <pageMargins left="0.38" right="0.75" top="0.73" bottom="0.74" header="0.5" footer="0.5"/>
  <pageSetup scale="90" orientation="landscape" r:id="rId1"/>
  <headerFooter alignWithMargins="0">
    <oddFooter>&amp;L&amp;Z&amp;F</oddFooter>
  </headerFooter>
  <ignoredErrors>
    <ignoredError sqref="H11:H22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M55"/>
  <sheetViews>
    <sheetView workbookViewId="0">
      <selection activeCell="C39" sqref="C39"/>
    </sheetView>
  </sheetViews>
  <sheetFormatPr defaultRowHeight="12.75" x14ac:dyDescent="0.2"/>
  <cols>
    <col min="1" max="1" width="28.85546875" customWidth="1"/>
    <col min="2" max="2" width="14.140625" style="6" bestFit="1" customWidth="1"/>
    <col min="3" max="4" width="12.5703125" style="6" customWidth="1"/>
    <col min="5" max="5" width="13.42578125" customWidth="1"/>
    <col min="6" max="6" width="13" customWidth="1"/>
    <col min="7" max="7" width="13.42578125" customWidth="1"/>
    <col min="8" max="8" width="12.5703125" bestFit="1" customWidth="1"/>
    <col min="10" max="10" width="12.42578125" style="6" bestFit="1" customWidth="1"/>
    <col min="11" max="11" width="13.42578125" bestFit="1" customWidth="1"/>
    <col min="12" max="13" width="9.140625" style="6" customWidth="1"/>
  </cols>
  <sheetData>
    <row r="1" spans="1:10" ht="38.25" x14ac:dyDescent="0.2">
      <c r="A1" s="176" t="s">
        <v>111</v>
      </c>
      <c r="B1" s="176" t="str">
        <f>'Rate Class Customer Model'!D2</f>
        <v>General Service &gt; 50 to 999 kW</v>
      </c>
      <c r="C1" s="176" t="str">
        <f>'Rate Class Customer Model'!E2</f>
        <v>Street Lights</v>
      </c>
      <c r="D1" s="176" t="str">
        <f>'Rate Class Customer Model'!F2</f>
        <v>Sentinel Lights</v>
      </c>
      <c r="E1" s="67" t="s">
        <v>11</v>
      </c>
      <c r="J1" s="8"/>
    </row>
    <row r="2" spans="1:10" x14ac:dyDescent="0.2">
      <c r="A2" s="23">
        <f>+'Rate Class Customer Model'!A11</f>
        <v>2013</v>
      </c>
      <c r="B2" s="43">
        <f>SUMIF(Inputs!B:B,'Rate Class Load Model'!$A2,Inputs!U:U)</f>
        <v>288316.92000000004</v>
      </c>
      <c r="C2" s="43">
        <f>SUMIF(Inputs!$B:$B,A2,Inputs!X:X)</f>
        <v>4780.3</v>
      </c>
      <c r="D2" s="43">
        <f>SUMIF(Inputs!$B:$B,A2,Inputs!AA:AA)</f>
        <v>292.3</v>
      </c>
      <c r="E2" s="57">
        <f t="shared" ref="E2:E9" si="0">SUM(B2:D2)</f>
        <v>293389.52</v>
      </c>
      <c r="F2" s="47" t="s">
        <v>149</v>
      </c>
    </row>
    <row r="3" spans="1:10" x14ac:dyDescent="0.2">
      <c r="A3" s="23">
        <f>+'Rate Class Customer Model'!A12</f>
        <v>2014</v>
      </c>
      <c r="B3" s="43">
        <f>SUMIF(Inputs!B:B,'Rate Class Load Model'!$A3,Inputs!U:U)</f>
        <v>293508.34999999998</v>
      </c>
      <c r="C3" s="43">
        <f>SUMIF(Inputs!$B:$B,A3,Inputs!X:X)</f>
        <v>4826.93</v>
      </c>
      <c r="D3" s="43">
        <f>SUMIF(Inputs!$B:$B,A3,Inputs!AA:AA)</f>
        <v>289.40000000000003</v>
      </c>
      <c r="E3" s="57">
        <f t="shared" si="0"/>
        <v>298624.68</v>
      </c>
    </row>
    <row r="4" spans="1:10" x14ac:dyDescent="0.2">
      <c r="A4" s="23">
        <f>+'Rate Class Customer Model'!A13</f>
        <v>2015</v>
      </c>
      <c r="B4" s="43">
        <f>SUMIF(Inputs!B:B,'Rate Class Load Model'!$A4,Inputs!U:U)</f>
        <v>288680.5</v>
      </c>
      <c r="C4" s="43">
        <f>SUMIF(Inputs!$B:$B,A4,Inputs!X:X)</f>
        <v>4599.0700000000006</v>
      </c>
      <c r="D4" s="43">
        <f>SUMIF(Inputs!$B:$B,A4,Inputs!AA:AA)</f>
        <v>286.49</v>
      </c>
      <c r="E4" s="57">
        <f t="shared" si="0"/>
        <v>293566.06</v>
      </c>
      <c r="J4" s="44"/>
    </row>
    <row r="5" spans="1:10" x14ac:dyDescent="0.2">
      <c r="A5" s="23">
        <f>+'Rate Class Customer Model'!A14</f>
        <v>2016</v>
      </c>
      <c r="B5" s="43">
        <f>SUMIF(Inputs!B:B,'Rate Class Load Model'!$A5,Inputs!U:U)</f>
        <v>306871.28999999998</v>
      </c>
      <c r="C5" s="43">
        <f>SUMIF(Inputs!$B:$B,A5,Inputs!X:X)</f>
        <v>2461.8700000000003</v>
      </c>
      <c r="D5" s="43">
        <f>SUMIF(Inputs!$B:$B,A5,Inputs!AA:AA)</f>
        <v>289.30000000000007</v>
      </c>
      <c r="E5" s="57">
        <f t="shared" si="0"/>
        <v>309622.45999999996</v>
      </c>
      <c r="J5" s="44"/>
    </row>
    <row r="6" spans="1:10" x14ac:dyDescent="0.2">
      <c r="A6" s="23">
        <f>+'Rate Class Customer Model'!A15</f>
        <v>2017</v>
      </c>
      <c r="B6" s="43">
        <f>SUMIF(Inputs!B:B,'Rate Class Load Model'!$A6,Inputs!U:U)</f>
        <v>295314.63</v>
      </c>
      <c r="C6" s="43">
        <f>SUMIF(Inputs!$B:$B,A6,Inputs!X:X)</f>
        <v>2404.58</v>
      </c>
      <c r="D6" s="43">
        <f>SUMIF(Inputs!$B:$B,A6,Inputs!AA:AA)</f>
        <v>310.00000000000006</v>
      </c>
      <c r="E6" s="57">
        <f t="shared" si="0"/>
        <v>298029.21000000002</v>
      </c>
      <c r="J6" s="44"/>
    </row>
    <row r="7" spans="1:10" x14ac:dyDescent="0.2">
      <c r="A7" s="23">
        <f>+'Rate Class Customer Model'!A16</f>
        <v>2018</v>
      </c>
      <c r="B7" s="43">
        <f>SUMIF(Inputs!B:B,'Rate Class Load Model'!$A7,Inputs!U:U)</f>
        <v>297736.30999999994</v>
      </c>
      <c r="C7" s="43">
        <f>SUMIF(Inputs!$B:$B,A7,Inputs!X:X)</f>
        <v>2423.3099999999995</v>
      </c>
      <c r="D7" s="43">
        <f>SUMIF(Inputs!$B:$B,A7,Inputs!AA:AA)</f>
        <v>280.60000000000002</v>
      </c>
      <c r="E7" s="57">
        <f t="shared" si="0"/>
        <v>300440.21999999991</v>
      </c>
      <c r="J7" s="44"/>
    </row>
    <row r="8" spans="1:10" x14ac:dyDescent="0.2">
      <c r="A8" s="23">
        <f>+'Rate Class Customer Model'!A17</f>
        <v>2019</v>
      </c>
      <c r="B8" s="43">
        <f>SUMIF(Inputs!B:B,'Rate Class Load Model'!$A8,Inputs!U:U)</f>
        <v>298865.18999999994</v>
      </c>
      <c r="C8" s="43">
        <f>SUMIF(Inputs!$B:$B,A8,Inputs!X:X)</f>
        <v>2459.6399999999994</v>
      </c>
      <c r="D8" s="43">
        <f>SUMIF(Inputs!$B:$B,A8,Inputs!AA:AA)</f>
        <v>283.8</v>
      </c>
      <c r="E8" s="57">
        <f t="shared" si="0"/>
        <v>301608.62999999995</v>
      </c>
      <c r="J8" s="44"/>
    </row>
    <row r="9" spans="1:10" x14ac:dyDescent="0.2">
      <c r="A9" s="23">
        <f>+'Rate Class Customer Model'!A18</f>
        <v>2020</v>
      </c>
      <c r="B9" s="43">
        <f>SUMIF(Inputs!B:B,'Rate Class Load Model'!$A9,Inputs!U:U)</f>
        <v>278922.71999999997</v>
      </c>
      <c r="C9" s="43">
        <f>SUMIF(Inputs!$B:$B,A9,Inputs!X:X)</f>
        <v>2445.92</v>
      </c>
      <c r="D9" s="43">
        <f>SUMIF(Inputs!$B:$B,A9,Inputs!AA:AA)</f>
        <v>282.2</v>
      </c>
      <c r="E9" s="57">
        <f t="shared" si="0"/>
        <v>281650.83999999997</v>
      </c>
    </row>
    <row r="10" spans="1:10" x14ac:dyDescent="0.2">
      <c r="A10" s="23">
        <f>+'Rate Class Customer Model'!A19</f>
        <v>2021</v>
      </c>
      <c r="B10" s="43">
        <f>SUMIF(Inputs!B:B,'Rate Class Load Model'!$A10,Inputs!U:U)</f>
        <v>301675.62</v>
      </c>
      <c r="C10" s="43">
        <f>SUMIF(Inputs!$B:$B,A10,Inputs!X:X)</f>
        <v>2420.3500000000004</v>
      </c>
      <c r="D10" s="43">
        <f>SUMIF(Inputs!$B:$B,A10,Inputs!AA:AA)</f>
        <v>282</v>
      </c>
      <c r="E10" s="57">
        <f t="shared" ref="E10:E11" si="1">SUM(B10:D10)</f>
        <v>304377.96999999997</v>
      </c>
    </row>
    <row r="11" spans="1:10" x14ac:dyDescent="0.2">
      <c r="A11" s="23">
        <f>+'Rate Class Customer Model'!A20</f>
        <v>2022</v>
      </c>
      <c r="B11" s="43">
        <f>SUMIF(Inputs!B:B,'Rate Class Load Model'!$A11,Inputs!U:U)</f>
        <v>317681.46000000008</v>
      </c>
      <c r="C11" s="43">
        <f>SUMIF(Inputs!$B:$B,A11,Inputs!X:X)</f>
        <v>2434.08</v>
      </c>
      <c r="D11" s="43">
        <f>SUMIF(Inputs!$B:$B,A11,Inputs!AA:AA)</f>
        <v>278.2</v>
      </c>
      <c r="E11" s="57">
        <f t="shared" si="1"/>
        <v>320393.74000000011</v>
      </c>
    </row>
    <row r="12" spans="1:10" x14ac:dyDescent="0.2">
      <c r="A12" s="23">
        <f>+'Rate Class Customer Model'!A21</f>
        <v>2023</v>
      </c>
      <c r="B12" s="24">
        <f>B28*'Rate Class Energy Model'!J32</f>
        <v>312524.7633633946</v>
      </c>
      <c r="C12" s="24">
        <f>C28*'Rate Class Energy Model'!K32</f>
        <v>2436.1070625659263</v>
      </c>
      <c r="D12" s="24">
        <f>D28*'Rate Class Energy Model'!L32</f>
        <v>276.80983328597222</v>
      </c>
      <c r="E12" s="57">
        <f>SUM(B12:D12)</f>
        <v>315237.6802592465</v>
      </c>
    </row>
    <row r="13" spans="1:10" x14ac:dyDescent="0.2">
      <c r="A13" s="23">
        <f>+'Rate Class Customer Model'!A22</f>
        <v>2024</v>
      </c>
      <c r="B13" s="24">
        <f>B28*'Rate Class Energy Model'!J33</f>
        <v>316065.55439528805</v>
      </c>
      <c r="C13" s="24">
        <f>C28*'Rate Class Energy Model'!K33</f>
        <v>2445.262047087997</v>
      </c>
      <c r="D13" s="24">
        <f>D28*'Rate Class Energy Model'!L33</f>
        <v>276.98676570271829</v>
      </c>
      <c r="E13" s="57">
        <f>SUM(B13:D13)</f>
        <v>318787.80320807878</v>
      </c>
    </row>
    <row r="15" spans="1:10" x14ac:dyDescent="0.2">
      <c r="A15" s="15" t="s">
        <v>58</v>
      </c>
      <c r="B15" s="5"/>
      <c r="C15" s="5"/>
      <c r="D15" s="5"/>
    </row>
    <row r="16" spans="1:10" x14ac:dyDescent="0.2">
      <c r="A16" s="23">
        <f>+A2</f>
        <v>2013</v>
      </c>
      <c r="B16" s="68">
        <f>B2/'Rate Class Energy Model'!J3</f>
        <v>2.404950505177562E-3</v>
      </c>
      <c r="C16" s="68">
        <f>C2/'Rate Class Energy Model'!K3</f>
        <v>2.7906368629113556E-3</v>
      </c>
      <c r="D16" s="68">
        <f>D2/'Rate Class Energy Model'!L3</f>
        <v>2.7572477486214535E-3</v>
      </c>
      <c r="J16" s="21"/>
    </row>
    <row r="17" spans="1:10" x14ac:dyDescent="0.2">
      <c r="A17" s="23">
        <f t="shared" ref="A17:A25" si="2">+A3</f>
        <v>2014</v>
      </c>
      <c r="B17" s="68">
        <f>B3/'Rate Class Energy Model'!J4</f>
        <v>2.3858223081520101E-3</v>
      </c>
      <c r="C17" s="68">
        <f>C3/'Rate Class Energy Model'!K4</f>
        <v>2.7874880048634732E-3</v>
      </c>
      <c r="D17" s="68">
        <f>D3/'Rate Class Energy Model'!L4</f>
        <v>2.7526985402158205E-3</v>
      </c>
      <c r="J17" s="21"/>
    </row>
    <row r="18" spans="1:10" x14ac:dyDescent="0.2">
      <c r="A18" s="23">
        <f t="shared" si="2"/>
        <v>2015</v>
      </c>
      <c r="B18" s="68">
        <f>B4/'Rate Class Energy Model'!J5</f>
        <v>2.3230842926933856E-3</v>
      </c>
      <c r="C18" s="68">
        <f>C4/'Rate Class Energy Model'!K5</f>
        <v>2.8218169429424914E-3</v>
      </c>
      <c r="D18" s="68">
        <f>D4/'Rate Class Energy Model'!L5</f>
        <v>2.7539172235490042E-3</v>
      </c>
      <c r="J18" s="21"/>
    </row>
    <row r="19" spans="1:10" x14ac:dyDescent="0.2">
      <c r="A19" s="23">
        <f t="shared" si="2"/>
        <v>2016</v>
      </c>
      <c r="B19" s="68">
        <f>B5/'Rate Class Energy Model'!J6</f>
        <v>2.4263781053401384E-3</v>
      </c>
      <c r="C19" s="68">
        <f>C5/'Rate Class Energy Model'!K6</f>
        <v>2.7640990892552953E-3</v>
      </c>
      <c r="D19" s="68">
        <f>D5/'Rate Class Energy Model'!L6</f>
        <v>2.7404934913300583E-3</v>
      </c>
      <c r="J19" s="21"/>
    </row>
    <row r="20" spans="1:10" x14ac:dyDescent="0.2">
      <c r="A20" s="23">
        <f t="shared" si="2"/>
        <v>2017</v>
      </c>
      <c r="B20" s="68">
        <f>B6/'Rate Class Energy Model'!J7</f>
        <v>2.3624972377996626E-3</v>
      </c>
      <c r="C20" s="68">
        <f>C6/'Rate Class Energy Model'!K7</f>
        <v>2.7853527029364509E-3</v>
      </c>
      <c r="D20" s="68">
        <f>D6/'Rate Class Energy Model'!L7</f>
        <v>2.9986114010562798E-3</v>
      </c>
      <c r="J20" s="21"/>
    </row>
    <row r="21" spans="1:10" x14ac:dyDescent="0.2">
      <c r="A21" s="23">
        <f t="shared" si="2"/>
        <v>2018</v>
      </c>
      <c r="B21" s="68">
        <f>B7/'Rate Class Energy Model'!J8</f>
        <v>2.3273322750514362E-3</v>
      </c>
      <c r="C21" s="68">
        <f>C7/'Rate Class Energy Model'!K8</f>
        <v>2.7825179935884246E-3</v>
      </c>
      <c r="D21" s="68">
        <f>D7/'Rate Class Energy Model'!L8</f>
        <v>2.7395847393533487E-3</v>
      </c>
      <c r="J21" s="21"/>
    </row>
    <row r="22" spans="1:10" x14ac:dyDescent="0.2">
      <c r="A22" s="23">
        <f t="shared" si="2"/>
        <v>2019</v>
      </c>
      <c r="B22" s="68">
        <f>B8/'Rate Class Energy Model'!J9</f>
        <v>2.3488077390041453E-3</v>
      </c>
      <c r="C22" s="68">
        <f>C8/'Rate Class Energy Model'!K9</f>
        <v>2.7840857325401513E-3</v>
      </c>
      <c r="D22" s="68">
        <f>D8/'Rate Class Energy Model'!L9</f>
        <v>2.7619208210585486E-3</v>
      </c>
      <c r="J22" s="21"/>
    </row>
    <row r="23" spans="1:10" x14ac:dyDescent="0.2">
      <c r="A23" s="23">
        <f t="shared" si="2"/>
        <v>2020</v>
      </c>
      <c r="B23" s="68">
        <f>B9/'Rate Class Energy Model'!J10</f>
        <v>2.253545409306511E-3</v>
      </c>
      <c r="C23" s="68">
        <f>C9/'Rate Class Energy Model'!K10</f>
        <v>2.7741249163767421E-3</v>
      </c>
      <c r="D23" s="68">
        <f>D9/'Rate Class Energy Model'!L10</f>
        <v>2.7463244927531656E-3</v>
      </c>
      <c r="J23" s="21"/>
    </row>
    <row r="24" spans="1:10" x14ac:dyDescent="0.2">
      <c r="A24" s="23">
        <f t="shared" si="2"/>
        <v>2021</v>
      </c>
      <c r="B24" s="68">
        <f>B10/'Rate Class Energy Model'!J11</f>
        <v>2.3071013537613577E-3</v>
      </c>
      <c r="C24" s="68">
        <f>C10/'Rate Class Energy Model'!K11</f>
        <v>2.7816347513433823E-3</v>
      </c>
      <c r="D24" s="68">
        <f>D10/'Rate Class Energy Model'!L11</f>
        <v>2.7518957653752639E-3</v>
      </c>
      <c r="J24" s="21"/>
    </row>
    <row r="25" spans="1:10" x14ac:dyDescent="0.2">
      <c r="A25" s="23">
        <f t="shared" si="2"/>
        <v>2022</v>
      </c>
      <c r="B25" s="68">
        <f>B11/'Rate Class Energy Model'!J12</f>
        <v>2.3331590702885003E-3</v>
      </c>
      <c r="C25" s="68">
        <f>C11/'Rate Class Energy Model'!K12</f>
        <v>2.7817857552847798E-3</v>
      </c>
      <c r="D25" s="68">
        <f>D11/'Rate Class Energy Model'!L12</f>
        <v>2.7891689172274774E-3</v>
      </c>
      <c r="J25" s="21"/>
    </row>
    <row r="26" spans="1:10" x14ac:dyDescent="0.2">
      <c r="A26" s="206" t="s">
        <v>277</v>
      </c>
      <c r="B26" s="227">
        <f>SUM(Inputs!U123:U131)/SUM(Inputs!T123:T131)</f>
        <v>2.4606286863658937E-3</v>
      </c>
      <c r="C26" s="227">
        <f>SUM(Inputs!X123:X131)/SUM(Inputs!W123:W131)</f>
        <v>2.9989721651683516E-3</v>
      </c>
      <c r="D26" s="227">
        <f>SUM(Inputs!AA123:AA131)/SUM(Inputs!Z123:Z131)</f>
        <v>2.7842932977283335E-3</v>
      </c>
    </row>
    <row r="27" spans="1:10" x14ac:dyDescent="0.2">
      <c r="B27"/>
      <c r="C27"/>
      <c r="D27"/>
    </row>
    <row r="28" spans="1:10" x14ac:dyDescent="0.2">
      <c r="A28" s="47" t="s">
        <v>55</v>
      </c>
      <c r="B28" s="21">
        <f>B30</f>
        <v>2.3575733620855091E-3</v>
      </c>
      <c r="C28" s="21">
        <f>+C30</f>
        <v>2.8047740833828088E-3</v>
      </c>
      <c r="D28" s="21">
        <f>+D30</f>
        <v>2.7796505852971595E-3</v>
      </c>
    </row>
    <row r="30" spans="1:10" x14ac:dyDescent="0.2">
      <c r="A30" s="206" t="s">
        <v>15</v>
      </c>
      <c r="B30" s="228">
        <f>AVERAGE(B16:B26)</f>
        <v>2.3575733620855091E-3</v>
      </c>
      <c r="C30" s="228">
        <f t="shared" ref="C30:D30" si="3">AVERAGE(C16:C26)</f>
        <v>2.8047740833828088E-3</v>
      </c>
      <c r="D30" s="228">
        <f t="shared" si="3"/>
        <v>2.7796505852971595E-3</v>
      </c>
      <c r="E30" s="47" t="s">
        <v>278</v>
      </c>
      <c r="I30" s="21"/>
      <c r="J30" s="21"/>
    </row>
    <row r="32" spans="1:10" x14ac:dyDescent="0.2">
      <c r="A32" s="229" t="s">
        <v>279</v>
      </c>
      <c r="B32" s="237">
        <f>SUM(Inputs!U120:U131)/SUM(Inputs!T120:T131)</f>
        <v>2.4321783102265382E-3</v>
      </c>
      <c r="C32" s="237">
        <f>SUM(Inputs!X120:X131)/SUM(Inputs!W120:W131)</f>
        <v>2.778058890163733E-3</v>
      </c>
      <c r="D32" s="237" cm="1">
        <f t="array" ref="D32">SUM(Inputs!AA120:AA131/SUM(Inputs!Z120:Z131))</f>
        <v>2.7842932977283339E-3</v>
      </c>
      <c r="E32" s="234" t="s">
        <v>280</v>
      </c>
    </row>
    <row r="33" spans="1:5" x14ac:dyDescent="0.2">
      <c r="A33" s="229" t="s">
        <v>286</v>
      </c>
      <c r="B33" s="242">
        <f>AVERAGE(B16:B25,B32)</f>
        <v>2.3549869642546586E-3</v>
      </c>
      <c r="C33" s="242">
        <f>AVERAGE(C16:C25,C32)</f>
        <v>2.7846910583823894E-3</v>
      </c>
      <c r="D33" s="242">
        <f>AVERAGE(D16:D25,D32)</f>
        <v>2.7796505852971595E-3</v>
      </c>
      <c r="E33" s="234" t="s">
        <v>280</v>
      </c>
    </row>
    <row r="34" spans="1:5" x14ac:dyDescent="0.2">
      <c r="A34" s="221"/>
      <c r="B34" s="219"/>
      <c r="C34" s="219"/>
      <c r="D34" s="219"/>
    </row>
    <row r="35" spans="1:5" x14ac:dyDescent="0.2">
      <c r="A35" s="221" t="s">
        <v>284</v>
      </c>
      <c r="B35" s="243">
        <f>+B33*'Rate Class Energy Model'!J50</f>
        <v>309007.75157549616</v>
      </c>
      <c r="C35" s="243">
        <f>+C33*'Rate Class Energy Model'!K50</f>
        <v>2415.7713744567136</v>
      </c>
      <c r="D35" s="243">
        <f>+D33*'Rate Class Energy Model'!L50</f>
        <v>275.71590019869365</v>
      </c>
    </row>
    <row r="54" spans="2:4" x14ac:dyDescent="0.2">
      <c r="B54" s="13"/>
      <c r="C54" s="13"/>
      <c r="D54" s="13"/>
    </row>
    <row r="55" spans="2:4" x14ac:dyDescent="0.2">
      <c r="B55" s="13"/>
      <c r="C55" s="13"/>
      <c r="D55" s="13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098EF-E451-4304-A675-5688FB7BBCB4}">
  <dimension ref="A4:Q54"/>
  <sheetViews>
    <sheetView topLeftCell="A13" workbookViewId="0">
      <selection activeCell="B50" sqref="B50"/>
    </sheetView>
  </sheetViews>
  <sheetFormatPr defaultRowHeight="12.75" x14ac:dyDescent="0.2"/>
  <cols>
    <col min="1" max="1" width="24.7109375" customWidth="1"/>
    <col min="2" max="2" width="15" customWidth="1"/>
    <col min="3" max="3" width="14" customWidth="1"/>
    <col min="4" max="4" width="18.85546875" customWidth="1"/>
    <col min="5" max="6" width="16.85546875" customWidth="1"/>
    <col min="7" max="8" width="15" bestFit="1" customWidth="1"/>
    <col min="11" max="17" width="15.7109375" customWidth="1"/>
  </cols>
  <sheetData>
    <row r="4" spans="1:7" x14ac:dyDescent="0.2">
      <c r="C4" s="117"/>
    </row>
    <row r="5" spans="1:7" x14ac:dyDescent="0.2">
      <c r="A5" s="159" t="s">
        <v>183</v>
      </c>
      <c r="B5" s="159"/>
      <c r="C5" s="159"/>
      <c r="D5" s="159"/>
      <c r="E5" s="159"/>
      <c r="F5" s="159"/>
    </row>
    <row r="6" spans="1:7" x14ac:dyDescent="0.2">
      <c r="A6" s="159"/>
      <c r="B6" s="159" t="s">
        <v>11</v>
      </c>
      <c r="C6" s="159" t="s">
        <v>163</v>
      </c>
      <c r="D6" s="159" t="s">
        <v>161</v>
      </c>
      <c r="E6" s="159" t="s">
        <v>162</v>
      </c>
      <c r="F6" s="159" t="s">
        <v>171</v>
      </c>
    </row>
    <row r="7" spans="1:7" x14ac:dyDescent="0.2">
      <c r="A7" s="160" t="s">
        <v>100</v>
      </c>
      <c r="B7" s="161">
        <f>SUM(C7:F7)</f>
        <v>95385746.331457466</v>
      </c>
      <c r="C7" s="162"/>
      <c r="D7" s="162">
        <f>SUM('[12]2.kWh RPP non-RPP'!$Q$37:$Q$39)</f>
        <v>94281882.921477512</v>
      </c>
      <c r="E7" s="162">
        <f>SUM('[12]2.kWh RPP non-RPP'!$R$37:$S$39)</f>
        <v>1103863.4099799562</v>
      </c>
      <c r="F7" s="162"/>
    </row>
    <row r="8" spans="1:7" x14ac:dyDescent="0.2">
      <c r="A8" s="160" t="s">
        <v>164</v>
      </c>
      <c r="B8" s="161">
        <f t="shared" ref="B8:B13" si="0">SUM(C8:F8)</f>
        <v>35246276.66253221</v>
      </c>
      <c r="C8" s="162"/>
      <c r="D8" s="162">
        <f>SUM('[12]2.kWh RPP non-RPP'!$Q$41:$Q$45)</f>
        <v>30095150.062016994</v>
      </c>
      <c r="E8" s="162">
        <f>SUM('[12]2.kWh RPP non-RPP'!$R$41:$S$45)</f>
        <v>5151126.6005152166</v>
      </c>
      <c r="F8" s="162"/>
    </row>
    <row r="9" spans="1:7" x14ac:dyDescent="0.2">
      <c r="A9" s="160" t="s">
        <v>165</v>
      </c>
      <c r="B9" s="161">
        <f t="shared" si="0"/>
        <v>136159366.09102181</v>
      </c>
      <c r="C9" s="162">
        <f>+'[12]4.Class A'!$N$43/1.0481</f>
        <v>66370348.907546997</v>
      </c>
      <c r="D9" s="162">
        <f>SUM('[12]2.kWh RPP non-RPP'!$Q$49:$Q$50)</f>
        <v>10829685.430779513</v>
      </c>
      <c r="E9" s="162">
        <f>SUM('[12]2.kWh RPP non-RPP'!$R$46:$S$51)-C9-F9</f>
        <v>56423159.459975116</v>
      </c>
      <c r="F9" s="162">
        <f>+'[12]2.kWh RPP non-RPP'!$R$51</f>
        <v>2536172.2927201604</v>
      </c>
    </row>
    <row r="10" spans="1:7" x14ac:dyDescent="0.2">
      <c r="A10" s="160" t="s">
        <v>166</v>
      </c>
      <c r="B10" s="161">
        <f t="shared" si="0"/>
        <v>0</v>
      </c>
      <c r="C10" s="162"/>
      <c r="D10" s="162"/>
      <c r="E10" s="162"/>
      <c r="F10" s="162"/>
    </row>
    <row r="11" spans="1:7" x14ac:dyDescent="0.2">
      <c r="A11" s="160" t="s">
        <v>167</v>
      </c>
      <c r="B11" s="161">
        <f t="shared" si="0"/>
        <v>875006.27802690584</v>
      </c>
      <c r="C11" s="162"/>
      <c r="D11" s="162">
        <f>'[12]2.kWh RPP non-RPP'!$Q$52</f>
        <v>159687.48211048558</v>
      </c>
      <c r="E11" s="162">
        <f>+'[12]2.kWh RPP non-RPP'!$R$53</f>
        <v>715318.79591642029</v>
      </c>
      <c r="F11" s="162"/>
    </row>
    <row r="12" spans="1:7" x14ac:dyDescent="0.2">
      <c r="A12" s="160" t="s">
        <v>168</v>
      </c>
      <c r="B12" s="161">
        <f t="shared" si="0"/>
        <v>99742.972998759782</v>
      </c>
      <c r="C12" s="162"/>
      <c r="D12" s="162">
        <f>+'[12]2.kWh RPP non-RPP'!$Q$54</f>
        <v>99742.972998759782</v>
      </c>
      <c r="E12" s="162"/>
      <c r="F12" s="162"/>
    </row>
    <row r="13" spans="1:7" x14ac:dyDescent="0.2">
      <c r="A13" s="160" t="s">
        <v>169</v>
      </c>
      <c r="B13" s="161">
        <f t="shared" si="0"/>
        <v>375339.18519225135</v>
      </c>
      <c r="C13" s="162"/>
      <c r="D13" s="162">
        <f>+'[12]2.kWh RPP non-RPP'!$Q$40</f>
        <v>375339.18519225135</v>
      </c>
      <c r="E13" s="162"/>
      <c r="F13" s="162"/>
      <c r="G13" s="47"/>
    </row>
    <row r="14" spans="1:7" ht="13.5" thickBot="1" x14ac:dyDescent="0.25">
      <c r="A14" s="160"/>
      <c r="B14" s="163">
        <f t="shared" ref="B14:F14" si="1">SUM(B7:B13)</f>
        <v>268141477.52122942</v>
      </c>
      <c r="C14" s="163">
        <f t="shared" si="1"/>
        <v>66370348.907546997</v>
      </c>
      <c r="D14" s="163">
        <f t="shared" si="1"/>
        <v>135841488.05457553</v>
      </c>
      <c r="E14" s="163">
        <f t="shared" si="1"/>
        <v>63393468.26638671</v>
      </c>
      <c r="F14" s="163">
        <f t="shared" si="1"/>
        <v>2536172.2927201604</v>
      </c>
    </row>
    <row r="15" spans="1:7" ht="13.5" thickTop="1" x14ac:dyDescent="0.2">
      <c r="B15" s="119">
        <f>+B14*C17</f>
        <v>282146124.23150396</v>
      </c>
      <c r="C15" s="117"/>
      <c r="F15" s="117"/>
    </row>
    <row r="16" spans="1:7" x14ac:dyDescent="0.2">
      <c r="F16" s="47"/>
    </row>
    <row r="17" spans="1:17" x14ac:dyDescent="0.2">
      <c r="A17" s="15" t="s">
        <v>181</v>
      </c>
      <c r="B17" s="15" t="s">
        <v>179</v>
      </c>
      <c r="C17" s="157">
        <f>+'[13]App.2-R_Loss Factors'!$J$27</f>
        <v>1.0522285729150791</v>
      </c>
      <c r="D17" s="15"/>
      <c r="E17" s="15"/>
      <c r="F17" s="15"/>
      <c r="G17" s="15"/>
      <c r="H17" s="15"/>
      <c r="K17" s="15" t="s">
        <v>260</v>
      </c>
    </row>
    <row r="18" spans="1:17" x14ac:dyDescent="0.2">
      <c r="A18" s="15"/>
      <c r="B18" s="15" t="s">
        <v>172</v>
      </c>
      <c r="C18" s="15" t="s">
        <v>163</v>
      </c>
      <c r="D18" s="15" t="s">
        <v>161</v>
      </c>
      <c r="E18" s="15" t="s">
        <v>162</v>
      </c>
      <c r="F18" s="15" t="s">
        <v>171</v>
      </c>
      <c r="G18" s="15" t="s">
        <v>174</v>
      </c>
      <c r="H18" s="15" t="s">
        <v>177</v>
      </c>
      <c r="J18" t="s">
        <v>180</v>
      </c>
      <c r="K18" s="15" t="s">
        <v>172</v>
      </c>
      <c r="L18" s="15" t="s">
        <v>163</v>
      </c>
      <c r="M18" s="15" t="s">
        <v>161</v>
      </c>
      <c r="N18" s="15" t="s">
        <v>162</v>
      </c>
      <c r="O18" s="15" t="s">
        <v>171</v>
      </c>
      <c r="P18" s="15" t="s">
        <v>172</v>
      </c>
      <c r="Q18" s="15" t="s">
        <v>177</v>
      </c>
    </row>
    <row r="19" spans="1:17" x14ac:dyDescent="0.2">
      <c r="A19" s="47" t="s">
        <v>100</v>
      </c>
      <c r="B19" s="118">
        <f>+Summary!M15</f>
        <v>94221374.619588077</v>
      </c>
      <c r="C19" s="113"/>
      <c r="D19" s="113">
        <f>+B19*D7/B7*C17</f>
        <v>97995084.541383371</v>
      </c>
      <c r="E19" s="113">
        <f>+B19*E7/B7*C17</f>
        <v>1147338.012682854</v>
      </c>
      <c r="F19" s="113">
        <f>+F7*$C$17*$B$14/$B$26</f>
        <v>0</v>
      </c>
      <c r="G19" s="117">
        <f>SUM(C19:E19)</f>
        <v>99142422.554066226</v>
      </c>
      <c r="H19" s="117">
        <f>+G19</f>
        <v>99142422.554066226</v>
      </c>
      <c r="J19" s="117">
        <f t="shared" ref="J19:J26" si="2">+B19*$C$17-G19</f>
        <v>0</v>
      </c>
      <c r="K19" s="118">
        <f>+B19</f>
        <v>94221374.619588077</v>
      </c>
      <c r="L19" s="113"/>
      <c r="M19" s="113">
        <f t="shared" ref="M19:M25" si="3">+D19/$C$17</f>
        <v>93130986.046025321</v>
      </c>
      <c r="N19" s="113">
        <f t="shared" ref="N19:N25" si="4">+E19/$C$17</f>
        <v>1090388.5735627622</v>
      </c>
      <c r="O19" s="113">
        <f t="shared" ref="O19:O25" si="5">+F19/$C$17</f>
        <v>0</v>
      </c>
      <c r="P19" s="117">
        <f>SUM(L19:N19)</f>
        <v>94221374.619588077</v>
      </c>
      <c r="Q19" s="117">
        <f>+P19</f>
        <v>94221374.619588077</v>
      </c>
    </row>
    <row r="20" spans="1:17" x14ac:dyDescent="0.2">
      <c r="A20" t="s">
        <v>164</v>
      </c>
      <c r="B20" s="118">
        <f>+Summary!M19</f>
        <v>34233745.966155298</v>
      </c>
      <c r="C20" s="113"/>
      <c r="D20" s="113">
        <f>+B20*D8/B8*C17</f>
        <v>30757269.759741645</v>
      </c>
      <c r="E20" s="113">
        <f>+B20*E8/B8*C17</f>
        <v>5264455.9037632886</v>
      </c>
      <c r="F20" s="113">
        <f>+F8*$C$17*$B$14/$B$26</f>
        <v>0</v>
      </c>
      <c r="G20" s="117">
        <f t="shared" ref="G20" si="6">SUM(C20:E20)</f>
        <v>36021725.663504936</v>
      </c>
      <c r="H20" s="117">
        <f t="shared" ref="H20:H25" si="7">+G20</f>
        <v>36021725.663504936</v>
      </c>
      <c r="J20" s="117">
        <f t="shared" si="2"/>
        <v>0</v>
      </c>
      <c r="K20" s="118">
        <f t="shared" ref="K20:K25" si="8">+B20</f>
        <v>34233745.966155298</v>
      </c>
      <c r="L20" s="113"/>
      <c r="M20" s="113">
        <f t="shared" si="3"/>
        <v>29230597.373470046</v>
      </c>
      <c r="N20" s="113">
        <f t="shared" si="4"/>
        <v>5003148.5926852515</v>
      </c>
      <c r="O20" s="113">
        <f t="shared" si="5"/>
        <v>0</v>
      </c>
      <c r="P20" s="117">
        <f t="shared" ref="P20" si="9">SUM(L20:N20)</f>
        <v>34233745.966155298</v>
      </c>
      <c r="Q20" s="117">
        <f t="shared" ref="Q20" si="10">+P20</f>
        <v>34233745.966155298</v>
      </c>
    </row>
    <row r="21" spans="1:17" x14ac:dyDescent="0.2">
      <c r="A21" t="s">
        <v>165</v>
      </c>
      <c r="B21" s="118">
        <f>+Summary!M23</f>
        <v>134063931.78607029</v>
      </c>
      <c r="C21" s="113">
        <f>+$B$21*C9/$B$9*$C$17</f>
        <v>68762019.43135412</v>
      </c>
      <c r="D21" s="113">
        <f t="shared" ref="D21:E21" si="11">+$B$21*D9/$B$9*$C$17</f>
        <v>11219935.592986414</v>
      </c>
      <c r="E21" s="113">
        <f t="shared" si="11"/>
        <v>58456380.763790607</v>
      </c>
      <c r="F21" s="113">
        <f>+$B$21*F9/$B$9*$C$17</f>
        <v>2627563.8345100731</v>
      </c>
      <c r="G21" s="117">
        <f>SUM(C21:F21)</f>
        <v>141065899.62264121</v>
      </c>
      <c r="H21" s="117">
        <f>+G21-F21</f>
        <v>138438335.78813112</v>
      </c>
      <c r="J21" s="117">
        <f t="shared" si="2"/>
        <v>0</v>
      </c>
      <c r="K21" s="118">
        <f>+B21</f>
        <v>134063931.78607029</v>
      </c>
      <c r="L21" s="113">
        <f>+C21/$C$17</f>
        <v>65348937.675068825</v>
      </c>
      <c r="M21" s="113">
        <f t="shared" si="3"/>
        <v>10663021.212114459</v>
      </c>
      <c r="N21" s="113">
        <f t="shared" si="4"/>
        <v>55554831.21109692</v>
      </c>
      <c r="O21" s="113">
        <f t="shared" si="5"/>
        <v>2497141.6877900469</v>
      </c>
      <c r="P21" s="117">
        <f>SUM(L21:O21)</f>
        <v>134063931.78607024</v>
      </c>
      <c r="Q21" s="117">
        <f>+P21-O21</f>
        <v>131566790.09828019</v>
      </c>
    </row>
    <row r="22" spans="1:17" x14ac:dyDescent="0.2">
      <c r="A22" t="s">
        <v>166</v>
      </c>
      <c r="B22" s="118"/>
      <c r="C22" s="113"/>
      <c r="D22" s="113"/>
      <c r="E22" s="113"/>
      <c r="F22" s="113"/>
      <c r="G22" s="117">
        <f t="shared" ref="G22:G25" si="12">SUM(C22:F22)</f>
        <v>0</v>
      </c>
      <c r="H22" s="117">
        <f t="shared" si="7"/>
        <v>0</v>
      </c>
      <c r="J22" s="117">
        <f t="shared" si="2"/>
        <v>0</v>
      </c>
      <c r="K22" s="118">
        <f t="shared" si="8"/>
        <v>0</v>
      </c>
      <c r="L22" s="113"/>
      <c r="M22" s="113">
        <f t="shared" si="3"/>
        <v>0</v>
      </c>
      <c r="N22" s="113">
        <f t="shared" si="4"/>
        <v>0</v>
      </c>
      <c r="O22" s="113">
        <f t="shared" si="5"/>
        <v>0</v>
      </c>
      <c r="P22" s="117">
        <f t="shared" ref="P22:P25" si="13">SUM(L22:O22)</f>
        <v>0</v>
      </c>
      <c r="Q22" s="117">
        <f t="shared" ref="Q22:Q25" si="14">+P22</f>
        <v>0</v>
      </c>
    </row>
    <row r="23" spans="1:17" x14ac:dyDescent="0.2">
      <c r="A23" t="s">
        <v>167</v>
      </c>
      <c r="B23" s="118">
        <f>+Summary!M28</f>
        <v>871821.39252327662</v>
      </c>
      <c r="C23" s="113"/>
      <c r="D23" s="113">
        <f>+$B$23*D11/$B$11*$C$17</f>
        <v>167416.13684622763</v>
      </c>
      <c r="E23" s="113">
        <f t="shared" ref="E23:F23" si="15">+$B$23*E11/$B$11*$C$17</f>
        <v>749939.24284537672</v>
      </c>
      <c r="F23" s="113">
        <f t="shared" si="15"/>
        <v>0</v>
      </c>
      <c r="G23" s="117">
        <f t="shared" si="12"/>
        <v>917355.37969160429</v>
      </c>
      <c r="H23" s="117">
        <f t="shared" si="7"/>
        <v>917355.37969160429</v>
      </c>
      <c r="J23" s="117">
        <f t="shared" si="2"/>
        <v>0</v>
      </c>
      <c r="K23" s="118">
        <f t="shared" si="8"/>
        <v>871821.39252327662</v>
      </c>
      <c r="L23" s="113"/>
      <c r="M23" s="113">
        <f t="shared" si="3"/>
        <v>159106.24474150169</v>
      </c>
      <c r="N23" s="113">
        <f t="shared" si="4"/>
        <v>712715.14778177487</v>
      </c>
      <c r="O23" s="113">
        <f t="shared" si="5"/>
        <v>0</v>
      </c>
      <c r="P23" s="117">
        <f t="shared" si="13"/>
        <v>871821.39252327662</v>
      </c>
      <c r="Q23" s="117">
        <f t="shared" si="14"/>
        <v>871821.39252327662</v>
      </c>
    </row>
    <row r="24" spans="1:17" x14ac:dyDescent="0.2">
      <c r="A24" t="s">
        <v>168</v>
      </c>
      <c r="B24" s="118">
        <f>+Summary!M33</f>
        <v>99648.051869478732</v>
      </c>
      <c r="C24" s="113"/>
      <c r="D24" s="113">
        <f>+B24*C17</f>
        <v>104852.52741238939</v>
      </c>
      <c r="E24" s="113">
        <f>+E12*$C$17*$B$14/$B$26</f>
        <v>0</v>
      </c>
      <c r="F24" s="113">
        <f>+F12*$C$17*$B$14/$B$26</f>
        <v>0</v>
      </c>
      <c r="G24" s="117">
        <f t="shared" si="12"/>
        <v>104852.52741238939</v>
      </c>
      <c r="H24" s="117">
        <f t="shared" si="7"/>
        <v>104852.52741238939</v>
      </c>
      <c r="J24" s="117">
        <f t="shared" si="2"/>
        <v>0</v>
      </c>
      <c r="K24" s="118">
        <f t="shared" si="8"/>
        <v>99648.051869478732</v>
      </c>
      <c r="L24" s="113"/>
      <c r="M24" s="113">
        <f t="shared" si="3"/>
        <v>99648.051869478732</v>
      </c>
      <c r="N24" s="113">
        <f t="shared" si="4"/>
        <v>0</v>
      </c>
      <c r="O24" s="113">
        <f t="shared" si="5"/>
        <v>0</v>
      </c>
      <c r="P24" s="117">
        <f t="shared" si="13"/>
        <v>99648.051869478732</v>
      </c>
      <c r="Q24" s="117">
        <f t="shared" si="14"/>
        <v>99648.051869478732</v>
      </c>
    </row>
    <row r="25" spans="1:17" x14ac:dyDescent="0.2">
      <c r="A25" t="s">
        <v>169</v>
      </c>
      <c r="B25" s="118">
        <f>+Summary!M38</f>
        <v>369018.32083981927</v>
      </c>
      <c r="C25" s="113"/>
      <c r="D25" s="113">
        <f>+B25*C17</f>
        <v>388291.62111680181</v>
      </c>
      <c r="E25" s="113">
        <f>+E13*$C$17*$B$14/$B$26</f>
        <v>0</v>
      </c>
      <c r="F25" s="113">
        <f>+F13*$C$17*$B$14/$B$26</f>
        <v>0</v>
      </c>
      <c r="G25" s="117">
        <f t="shared" si="12"/>
        <v>388291.62111680181</v>
      </c>
      <c r="H25" s="117">
        <f t="shared" si="7"/>
        <v>388291.62111680181</v>
      </c>
      <c r="J25" s="117">
        <f t="shared" si="2"/>
        <v>0</v>
      </c>
      <c r="K25" s="118">
        <f t="shared" si="8"/>
        <v>369018.32083981927</v>
      </c>
      <c r="L25" s="113"/>
      <c r="M25" s="113">
        <f t="shared" si="3"/>
        <v>369018.32083981927</v>
      </c>
      <c r="N25" s="113">
        <f t="shared" si="4"/>
        <v>0</v>
      </c>
      <c r="O25" s="113">
        <f t="shared" si="5"/>
        <v>0</v>
      </c>
      <c r="P25" s="117">
        <f t="shared" si="13"/>
        <v>369018.32083981927</v>
      </c>
      <c r="Q25" s="117">
        <f t="shared" si="14"/>
        <v>369018.32083981927</v>
      </c>
    </row>
    <row r="26" spans="1:17" ht="13.5" thickBot="1" x14ac:dyDescent="0.25">
      <c r="B26" s="116">
        <f t="shared" ref="B26:H26" si="16">SUM(B19:B25)</f>
        <v>263859540.13704625</v>
      </c>
      <c r="C26" s="116">
        <f t="shared" si="16"/>
        <v>68762019.43135412</v>
      </c>
      <c r="D26" s="116">
        <f t="shared" si="16"/>
        <v>140632850.17948681</v>
      </c>
      <c r="E26" s="116">
        <f t="shared" si="16"/>
        <v>65618113.923082128</v>
      </c>
      <c r="F26" s="116">
        <f t="shared" si="16"/>
        <v>2627563.8345100731</v>
      </c>
      <c r="G26" s="116">
        <f t="shared" si="16"/>
        <v>277640547.36843318</v>
      </c>
      <c r="H26" s="116">
        <f t="shared" si="16"/>
        <v>275012983.53392309</v>
      </c>
      <c r="J26" s="117">
        <f t="shared" si="2"/>
        <v>0</v>
      </c>
      <c r="K26" s="116">
        <f t="shared" ref="K26:Q26" si="17">SUM(K19:K25)</f>
        <v>263859540.13704625</v>
      </c>
      <c r="L26" s="116">
        <f t="shared" si="17"/>
        <v>65348937.675068825</v>
      </c>
      <c r="M26" s="116">
        <f t="shared" si="17"/>
        <v>133652377.24906063</v>
      </c>
      <c r="N26" s="116">
        <f t="shared" si="17"/>
        <v>62361083.525126711</v>
      </c>
      <c r="O26" s="116">
        <f t="shared" si="17"/>
        <v>2497141.6877900469</v>
      </c>
      <c r="P26" s="116">
        <f t="shared" si="17"/>
        <v>263859540.13704619</v>
      </c>
      <c r="Q26" s="116">
        <f t="shared" si="17"/>
        <v>261362398.44925615</v>
      </c>
    </row>
    <row r="27" spans="1:17" ht="13.5" thickTop="1" x14ac:dyDescent="0.2">
      <c r="A27" s="47" t="s">
        <v>173</v>
      </c>
      <c r="B27" s="117">
        <f>+'Rate Class Energy Model'!G15*'2024 RPP non-RPP COP'!C17</f>
        <v>277640547.36843312</v>
      </c>
      <c r="E27" s="117"/>
      <c r="F27" s="117"/>
    </row>
    <row r="32" spans="1:17" x14ac:dyDescent="0.2">
      <c r="A32" s="159" t="s">
        <v>176</v>
      </c>
      <c r="B32" s="159"/>
      <c r="C32" s="159"/>
      <c r="D32" s="159"/>
      <c r="E32" s="159" t="s">
        <v>0</v>
      </c>
      <c r="F32" s="159" t="s">
        <v>171</v>
      </c>
      <c r="G32" s="15" t="s">
        <v>182</v>
      </c>
      <c r="H32" s="15" t="s">
        <v>175</v>
      </c>
    </row>
    <row r="33" spans="1:10" x14ac:dyDescent="0.2">
      <c r="A33" s="160"/>
      <c r="B33" s="159" t="s">
        <v>11</v>
      </c>
      <c r="C33" s="159" t="s">
        <v>163</v>
      </c>
      <c r="D33" s="159" t="s">
        <v>161</v>
      </c>
      <c r="E33" s="159" t="s">
        <v>162</v>
      </c>
      <c r="F33" s="159"/>
      <c r="G33" s="15"/>
      <c r="H33" s="15"/>
    </row>
    <row r="34" spans="1:10" x14ac:dyDescent="0.2">
      <c r="A34" s="160" t="s">
        <v>100</v>
      </c>
      <c r="B34" s="161">
        <f>+D34+E34</f>
        <v>0</v>
      </c>
      <c r="C34" s="162"/>
      <c r="D34" s="162"/>
      <c r="E34" s="162"/>
      <c r="F34" s="162"/>
      <c r="G34" s="117">
        <f>SUM(C34:E34)</f>
        <v>0</v>
      </c>
      <c r="H34" s="117">
        <f>+G34</f>
        <v>0</v>
      </c>
    </row>
    <row r="35" spans="1:10" x14ac:dyDescent="0.2">
      <c r="A35" s="160" t="s">
        <v>164</v>
      </c>
      <c r="B35" s="161">
        <f t="shared" ref="B35" si="18">+D35+E35</f>
        <v>0</v>
      </c>
      <c r="C35" s="162"/>
      <c r="D35" s="162"/>
      <c r="E35" s="162"/>
      <c r="F35" s="162"/>
      <c r="G35" s="117">
        <f t="shared" ref="G35" si="19">SUM(C35:E35)</f>
        <v>0</v>
      </c>
      <c r="H35" s="117">
        <f t="shared" ref="H35" si="20">+G35</f>
        <v>0</v>
      </c>
    </row>
    <row r="36" spans="1:10" x14ac:dyDescent="0.2">
      <c r="A36" s="160" t="s">
        <v>165</v>
      </c>
      <c r="B36" s="161">
        <f>+'[12]7.kW by Month-Load Forecast'!$N$28</f>
        <v>317681.46000000008</v>
      </c>
      <c r="C36" s="162">
        <f>+'[12]4.Class A'!$N$62</f>
        <v>127034.69</v>
      </c>
      <c r="D36" s="162">
        <f>SUM('[12]3.kW RPP non-RPP'!$Q$20:$Q$21)</f>
        <v>36991.82</v>
      </c>
      <c r="E36" s="162">
        <f>SUM('[12]3.kW RPP non-RPP'!$R$17:$S$22)-C36-F36</f>
        <v>148121.80000000013</v>
      </c>
      <c r="F36" s="162">
        <f>+'[12]3.kW RPP non-RPP'!$R$22</f>
        <v>5533.15</v>
      </c>
      <c r="G36" s="117">
        <f>SUM(C36:E36)</f>
        <v>312148.31000000017</v>
      </c>
      <c r="H36" s="117">
        <f>+G36+F36</f>
        <v>317681.4600000002</v>
      </c>
    </row>
    <row r="37" spans="1:10" x14ac:dyDescent="0.2">
      <c r="A37" s="160" t="s">
        <v>166</v>
      </c>
      <c r="B37" s="161">
        <f t="shared" ref="B37:B40" si="21">+D37+E37</f>
        <v>0</v>
      </c>
      <c r="C37" s="162"/>
      <c r="D37" s="162"/>
      <c r="E37" s="162"/>
      <c r="F37" s="162"/>
      <c r="G37" s="117">
        <f t="shared" ref="G37:G40" si="22">SUM(C37:F37)</f>
        <v>0</v>
      </c>
      <c r="H37" s="117">
        <f t="shared" ref="H37:H40" si="23">+G37</f>
        <v>0</v>
      </c>
    </row>
    <row r="38" spans="1:10" x14ac:dyDescent="0.2">
      <c r="A38" s="160" t="s">
        <v>167</v>
      </c>
      <c r="B38" s="161">
        <f>+'[12]7.kW by Month-Load Forecast'!$N$29</f>
        <v>2434.08</v>
      </c>
      <c r="C38" s="162"/>
      <c r="D38" s="162">
        <f>+'[12]3.kW RPP non-RPP'!$Q$23</f>
        <v>440.16000000000008</v>
      </c>
      <c r="E38" s="162">
        <f>+'[12]3.kW RPP non-RPP'!$R$24</f>
        <v>1993.9200000000003</v>
      </c>
      <c r="F38" s="162"/>
      <c r="G38" s="117">
        <f t="shared" si="22"/>
        <v>2434.0800000000004</v>
      </c>
      <c r="H38" s="117">
        <f t="shared" si="23"/>
        <v>2434.0800000000004</v>
      </c>
    </row>
    <row r="39" spans="1:10" x14ac:dyDescent="0.2">
      <c r="A39" s="160" t="s">
        <v>168</v>
      </c>
      <c r="B39" s="161">
        <f>+'[12]7.kW by Month-Load Forecast'!$N$30</f>
        <v>278.2</v>
      </c>
      <c r="C39" s="162"/>
      <c r="D39" s="162">
        <f>+'[12]7.kW by Month-Load Forecast'!$N$30</f>
        <v>278.2</v>
      </c>
      <c r="E39" s="162"/>
      <c r="F39" s="162"/>
      <c r="G39" s="117">
        <f t="shared" si="22"/>
        <v>278.2</v>
      </c>
      <c r="H39" s="117">
        <f t="shared" si="23"/>
        <v>278.2</v>
      </c>
    </row>
    <row r="40" spans="1:10" x14ac:dyDescent="0.2">
      <c r="A40" s="160" t="s">
        <v>169</v>
      </c>
      <c r="B40" s="161">
        <f t="shared" si="21"/>
        <v>0</v>
      </c>
      <c r="C40" s="162"/>
      <c r="D40" s="162"/>
      <c r="E40" s="162"/>
      <c r="F40" s="162"/>
      <c r="G40" s="117">
        <f t="shared" si="22"/>
        <v>0</v>
      </c>
      <c r="H40" s="117">
        <f t="shared" si="23"/>
        <v>0</v>
      </c>
    </row>
    <row r="41" spans="1:10" ht="13.5" thickBot="1" x14ac:dyDescent="0.25">
      <c r="A41" s="160"/>
      <c r="B41" s="163">
        <f t="shared" ref="B41:H41" si="24">SUM(B34:B40)</f>
        <v>320393.74000000011</v>
      </c>
      <c r="C41" s="163">
        <f t="shared" si="24"/>
        <v>127034.69</v>
      </c>
      <c r="D41" s="163">
        <f t="shared" si="24"/>
        <v>37710.18</v>
      </c>
      <c r="E41" s="163">
        <f t="shared" si="24"/>
        <v>150115.72000000015</v>
      </c>
      <c r="F41" s="163">
        <f t="shared" si="24"/>
        <v>5533.15</v>
      </c>
      <c r="G41" s="116">
        <f t="shared" si="24"/>
        <v>314860.5900000002</v>
      </c>
      <c r="H41" s="116">
        <f t="shared" si="24"/>
        <v>320393.74000000022</v>
      </c>
    </row>
    <row r="42" spans="1:10" ht="13.5" thickTop="1" x14ac:dyDescent="0.2">
      <c r="B42" s="119"/>
      <c r="F42" s="117"/>
    </row>
    <row r="43" spans="1:10" x14ac:dyDescent="0.2">
      <c r="F43" s="47"/>
    </row>
    <row r="44" spans="1:10" x14ac:dyDescent="0.2">
      <c r="A44" s="15" t="s">
        <v>170</v>
      </c>
      <c r="B44" s="15"/>
      <c r="C44" s="15"/>
      <c r="D44" s="15"/>
      <c r="E44" s="15"/>
      <c r="F44" s="15"/>
    </row>
    <row r="45" spans="1:10" x14ac:dyDescent="0.2">
      <c r="B45" s="15" t="s">
        <v>172</v>
      </c>
      <c r="C45" s="15" t="s">
        <v>163</v>
      </c>
      <c r="D45" s="15" t="s">
        <v>161</v>
      </c>
      <c r="E45" s="15" t="s">
        <v>162</v>
      </c>
      <c r="F45" s="15" t="s">
        <v>171</v>
      </c>
      <c r="G45" s="47" t="s">
        <v>182</v>
      </c>
      <c r="H45" s="47" t="s">
        <v>175</v>
      </c>
      <c r="J45" t="s">
        <v>180</v>
      </c>
    </row>
    <row r="46" spans="1:10" x14ac:dyDescent="0.2">
      <c r="A46" s="47" t="s">
        <v>100</v>
      </c>
      <c r="B46" s="164"/>
      <c r="C46" s="165"/>
      <c r="D46" s="165"/>
      <c r="E46" s="165"/>
      <c r="F46" s="165"/>
      <c r="G46" s="117">
        <f>SUM(C46:E46)</f>
        <v>0</v>
      </c>
      <c r="H46" s="117">
        <f>+G46</f>
        <v>0</v>
      </c>
      <c r="J46" s="117">
        <f t="shared" ref="J46:J47" si="25">+B46-G46</f>
        <v>0</v>
      </c>
    </row>
    <row r="47" spans="1:10" x14ac:dyDescent="0.2">
      <c r="A47" t="s">
        <v>164</v>
      </c>
      <c r="B47" s="118"/>
      <c r="C47" s="113"/>
      <c r="D47" s="113"/>
      <c r="E47" s="113"/>
      <c r="F47" s="113"/>
      <c r="G47" s="117">
        <f t="shared" ref="G47" si="26">SUM(C47:E47)</f>
        <v>0</v>
      </c>
      <c r="H47" s="117">
        <f t="shared" ref="H47:H52" si="27">+G47</f>
        <v>0</v>
      </c>
      <c r="J47" s="117">
        <f t="shared" si="25"/>
        <v>0</v>
      </c>
    </row>
    <row r="48" spans="1:10" x14ac:dyDescent="0.2">
      <c r="A48" t="s">
        <v>165</v>
      </c>
      <c r="B48" s="118">
        <f>+Summary!M24</f>
        <v>316065.55439528805</v>
      </c>
      <c r="C48" s="113">
        <f>+C36/B36*B48</f>
        <v>126388.5205081957</v>
      </c>
      <c r="D48" s="113">
        <f>+B48*D36/B36</f>
        <v>36803.658911636521</v>
      </c>
      <c r="E48" s="113">
        <f>+B48*E36/B36</f>
        <v>147368.36967139351</v>
      </c>
      <c r="F48" s="113">
        <f>+C48*F36/C36</f>
        <v>5505.0053040624016</v>
      </c>
      <c r="G48" s="117">
        <f>SUM(C48:E48)</f>
        <v>310560.54909122572</v>
      </c>
      <c r="H48" s="117">
        <f>+G48+F48</f>
        <v>316065.55439528811</v>
      </c>
      <c r="J48" s="117">
        <f>+B48-G48</f>
        <v>5505.0053040623316</v>
      </c>
    </row>
    <row r="49" spans="1:10" x14ac:dyDescent="0.2">
      <c r="A49" t="s">
        <v>166</v>
      </c>
      <c r="B49" s="118"/>
      <c r="C49" s="113"/>
      <c r="D49" s="113"/>
      <c r="E49" s="113"/>
      <c r="F49" s="113"/>
      <c r="G49" s="117">
        <f t="shared" ref="G49:G52" si="28">SUM(C49:F49)</f>
        <v>0</v>
      </c>
      <c r="H49" s="117">
        <f t="shared" si="27"/>
        <v>0</v>
      </c>
      <c r="J49" s="117">
        <f t="shared" ref="J49:J53" si="29">+B49-G49</f>
        <v>0</v>
      </c>
    </row>
    <row r="50" spans="1:10" x14ac:dyDescent="0.2">
      <c r="A50" t="s">
        <v>167</v>
      </c>
      <c r="B50" s="118">
        <f>+Summary!M29</f>
        <v>2445.262047087997</v>
      </c>
      <c r="C50" s="113"/>
      <c r="D50" s="113">
        <f>+$B$50*D38/$B$38</f>
        <v>442.18207398534685</v>
      </c>
      <c r="E50" s="113">
        <f>+$B$50*E38/$B$38</f>
        <v>2003.0799731026507</v>
      </c>
      <c r="F50" s="113"/>
      <c r="G50" s="117">
        <f t="shared" si="28"/>
        <v>2445.2620470879974</v>
      </c>
      <c r="H50" s="117">
        <f t="shared" si="27"/>
        <v>2445.2620470879974</v>
      </c>
      <c r="J50" s="117">
        <f t="shared" si="29"/>
        <v>0</v>
      </c>
    </row>
    <row r="51" spans="1:10" x14ac:dyDescent="0.2">
      <c r="A51" t="s">
        <v>168</v>
      </c>
      <c r="B51" s="118">
        <f>+Summary!M34</f>
        <v>276.98676570271829</v>
      </c>
      <c r="C51" s="113"/>
      <c r="D51" s="113">
        <f>+$B$51*D39/$B$39</f>
        <v>276.98676570271829</v>
      </c>
      <c r="E51" s="113"/>
      <c r="F51" s="113"/>
      <c r="G51" s="117">
        <f t="shared" si="28"/>
        <v>276.98676570271829</v>
      </c>
      <c r="H51" s="117">
        <f t="shared" si="27"/>
        <v>276.98676570271829</v>
      </c>
      <c r="J51" s="117">
        <f t="shared" si="29"/>
        <v>0</v>
      </c>
    </row>
    <row r="52" spans="1:10" x14ac:dyDescent="0.2">
      <c r="A52" t="s">
        <v>169</v>
      </c>
      <c r="B52" s="118"/>
      <c r="C52" s="113"/>
      <c r="D52" s="113"/>
      <c r="E52" s="113"/>
      <c r="F52" s="113"/>
      <c r="G52" s="117">
        <f t="shared" si="28"/>
        <v>0</v>
      </c>
      <c r="H52" s="117">
        <f t="shared" si="27"/>
        <v>0</v>
      </c>
      <c r="J52" s="117">
        <f t="shared" si="29"/>
        <v>0</v>
      </c>
    </row>
    <row r="53" spans="1:10" ht="13.5" thickBot="1" x14ac:dyDescent="0.25">
      <c r="B53" s="116">
        <f t="shared" ref="B53:H53" si="30">SUM(B46:B52)</f>
        <v>318787.80320807878</v>
      </c>
      <c r="C53" s="116">
        <f t="shared" si="30"/>
        <v>126388.5205081957</v>
      </c>
      <c r="D53" s="116">
        <f t="shared" si="30"/>
        <v>37522.827751324592</v>
      </c>
      <c r="E53" s="116">
        <f t="shared" si="30"/>
        <v>149371.44964449617</v>
      </c>
      <c r="F53" s="116">
        <f t="shared" si="30"/>
        <v>5505.0053040624016</v>
      </c>
      <c r="G53" s="116">
        <f t="shared" si="30"/>
        <v>313282.79790401645</v>
      </c>
      <c r="H53" s="116">
        <f t="shared" si="30"/>
        <v>318787.80320807884</v>
      </c>
      <c r="J53" s="117">
        <f t="shared" si="29"/>
        <v>5505.0053040623316</v>
      </c>
    </row>
    <row r="54" spans="1:10" ht="13.5" thickTop="1" x14ac:dyDescent="0.2">
      <c r="A54" s="47"/>
      <c r="B54" s="117"/>
      <c r="E54" s="117"/>
      <c r="F54" s="11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4E7F7-15B6-4750-B613-047B460B37EB}">
  <sheetPr>
    <pageSetUpPr fitToPage="1"/>
  </sheetPr>
  <dimension ref="A3:V723"/>
  <sheetViews>
    <sheetView showGridLines="0" topLeftCell="A692" workbookViewId="0">
      <selection activeCell="G720" sqref="G720"/>
    </sheetView>
  </sheetViews>
  <sheetFormatPr defaultRowHeight="12.75" x14ac:dyDescent="0.2"/>
  <cols>
    <col min="2" max="2" width="18.42578125" customWidth="1"/>
    <col min="3" max="8" width="12.5703125" customWidth="1"/>
    <col min="9" max="9" width="21.28515625" customWidth="1"/>
    <col min="10" max="15" width="12.5703125" customWidth="1"/>
    <col min="16" max="21" width="15.5703125" customWidth="1"/>
  </cols>
  <sheetData>
    <row r="3" spans="2:21" x14ac:dyDescent="0.2"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 t="s">
        <v>255</v>
      </c>
    </row>
    <row r="4" spans="2:21" ht="23.25" x14ac:dyDescent="0.35">
      <c r="B4" s="72" t="s">
        <v>124</v>
      </c>
      <c r="C4" s="70"/>
      <c r="D4" s="70"/>
      <c r="E4" s="70"/>
      <c r="F4" s="70"/>
      <c r="G4" s="70"/>
      <c r="H4" s="70"/>
      <c r="I4" s="70"/>
      <c r="J4" s="70"/>
      <c r="K4" s="70"/>
      <c r="L4" s="70"/>
      <c r="M4" s="81"/>
      <c r="N4" s="47"/>
      <c r="O4" s="47" t="s">
        <v>124</v>
      </c>
      <c r="P4" s="47"/>
    </row>
    <row r="5" spans="2:21" ht="15" x14ac:dyDescent="0.2">
      <c r="B5" s="80"/>
      <c r="C5" s="70"/>
      <c r="D5" s="70"/>
      <c r="E5" s="70"/>
      <c r="F5" s="70"/>
      <c r="G5" s="70"/>
      <c r="H5" s="70"/>
      <c r="I5" s="70"/>
      <c r="J5" s="70"/>
      <c r="K5" s="70"/>
      <c r="L5" s="70"/>
      <c r="M5" s="81"/>
      <c r="N5" s="70"/>
      <c r="O5" s="47"/>
      <c r="P5" s="47"/>
    </row>
    <row r="6" spans="2:21" ht="48" customHeight="1" x14ac:dyDescent="0.2">
      <c r="I6" s="70"/>
      <c r="J6" s="70"/>
      <c r="K6" s="70"/>
      <c r="L6" s="70"/>
      <c r="M6" s="81"/>
      <c r="O6" s="76" t="s">
        <v>111</v>
      </c>
      <c r="P6" s="76" t="s">
        <v>187</v>
      </c>
      <c r="Q6" s="76" t="s">
        <v>125</v>
      </c>
      <c r="R6" s="76" t="s">
        <v>126</v>
      </c>
      <c r="S6" s="76" t="s">
        <v>129</v>
      </c>
      <c r="T6" s="76" t="s">
        <v>127</v>
      </c>
      <c r="U6" s="76" t="s">
        <v>128</v>
      </c>
    </row>
    <row r="7" spans="2:21" x14ac:dyDescent="0.2">
      <c r="I7" s="70"/>
      <c r="J7" s="70"/>
      <c r="K7" s="70"/>
      <c r="L7" s="70"/>
      <c r="M7" s="81"/>
      <c r="O7" s="88" t="s">
        <v>184</v>
      </c>
      <c r="P7" s="88">
        <v>252033687</v>
      </c>
      <c r="Q7" s="88"/>
      <c r="R7" s="88"/>
      <c r="S7" s="88">
        <f>+I50</f>
        <v>14719</v>
      </c>
      <c r="T7" s="88"/>
      <c r="U7" s="88"/>
    </row>
    <row r="8" spans="2:21" x14ac:dyDescent="0.2">
      <c r="I8" s="70"/>
      <c r="J8" s="70"/>
      <c r="K8" s="70"/>
      <c r="L8" s="70"/>
      <c r="M8" s="81"/>
      <c r="O8" s="75">
        <f t="shared" ref="O8:O15" si="0">+O9-1</f>
        <v>2013</v>
      </c>
      <c r="P8" s="100" cm="1">
        <f t="array" ref="P8:P19">TRANSPOSE(Summary!B10:M10)</f>
        <v>244740325.18550813</v>
      </c>
      <c r="Q8" s="100"/>
      <c r="R8" s="87"/>
      <c r="S8" s="87">
        <f>+I51</f>
        <v>14572.666666666666</v>
      </c>
      <c r="T8" s="100"/>
      <c r="U8" s="87"/>
    </row>
    <row r="9" spans="2:21" x14ac:dyDescent="0.2">
      <c r="I9" s="70"/>
      <c r="J9" s="70"/>
      <c r="K9" s="70"/>
      <c r="L9" s="70"/>
      <c r="M9" s="81"/>
      <c r="O9" s="75">
        <f t="shared" si="0"/>
        <v>2014</v>
      </c>
      <c r="P9" s="100">
        <v>246477011.33039564</v>
      </c>
      <c r="Q9" s="100">
        <f>+P9-P8</f>
        <v>1736686.144887507</v>
      </c>
      <c r="R9" s="101">
        <f>+Q9/P8</f>
        <v>7.0960359457360967E-3</v>
      </c>
      <c r="S9" s="87">
        <f t="shared" ref="S9:S19" si="1">+I52</f>
        <v>14766.583333333332</v>
      </c>
      <c r="T9" s="100">
        <f>+S9-S8</f>
        <v>193.91666666666606</v>
      </c>
      <c r="U9" s="101">
        <f>+T9/S8</f>
        <v>1.3306875886362556E-2</v>
      </c>
    </row>
    <row r="10" spans="2:21" x14ac:dyDescent="0.2">
      <c r="I10" s="70"/>
      <c r="J10" s="70"/>
      <c r="K10" s="70"/>
      <c r="L10" s="70"/>
      <c r="M10" s="81"/>
      <c r="O10" s="75">
        <f t="shared" si="0"/>
        <v>2015</v>
      </c>
      <c r="P10" s="100">
        <v>246477011.33292255</v>
      </c>
      <c r="Q10" s="100">
        <f t="shared" ref="Q10:Q17" si="2">+P10-P9</f>
        <v>2.5269091129302979E-3</v>
      </c>
      <c r="R10" s="101">
        <f t="shared" ref="R10:R17" si="3">+Q10/P9</f>
        <v>1.0252108702920963E-11</v>
      </c>
      <c r="S10" s="87">
        <f t="shared" si="1"/>
        <v>14938.166666666668</v>
      </c>
      <c r="T10" s="100">
        <f t="shared" ref="T10:T17" si="4">+S10-S9</f>
        <v>171.58333333333576</v>
      </c>
      <c r="U10" s="101">
        <f t="shared" ref="U10:U17" si="5">+T10/S9</f>
        <v>1.1619704400137864E-2</v>
      </c>
    </row>
    <row r="11" spans="2:21" x14ac:dyDescent="0.2">
      <c r="I11" s="70"/>
      <c r="J11" s="70"/>
      <c r="K11" s="70"/>
      <c r="L11" s="70"/>
      <c r="M11" s="81"/>
      <c r="O11" s="75">
        <f t="shared" si="0"/>
        <v>2016</v>
      </c>
      <c r="P11" s="100">
        <v>248540423.96402004</v>
      </c>
      <c r="Q11" s="100">
        <f t="shared" si="2"/>
        <v>2063412.6310974956</v>
      </c>
      <c r="R11" s="101">
        <f t="shared" si="3"/>
        <v>8.3716230570095376E-3</v>
      </c>
      <c r="S11" s="87">
        <f t="shared" si="1"/>
        <v>15008.75</v>
      </c>
      <c r="T11" s="100">
        <f t="shared" si="4"/>
        <v>70.583333333332121</v>
      </c>
      <c r="U11" s="101">
        <f t="shared" si="5"/>
        <v>4.7250331923818483E-3</v>
      </c>
    </row>
    <row r="12" spans="2:21" x14ac:dyDescent="0.2">
      <c r="I12" s="70"/>
      <c r="J12" s="70"/>
      <c r="K12" s="70"/>
      <c r="L12" s="70"/>
      <c r="M12" s="81"/>
      <c r="O12" s="75">
        <f t="shared" si="0"/>
        <v>2017</v>
      </c>
      <c r="P12" s="100">
        <v>244614082.01926133</v>
      </c>
      <c r="Q12" s="100">
        <f t="shared" si="2"/>
        <v>-3926341.9447587132</v>
      </c>
      <c r="R12" s="101">
        <f t="shared" si="3"/>
        <v>-1.5797598966545218E-2</v>
      </c>
      <c r="S12" s="87">
        <f t="shared" si="1"/>
        <v>15314.75</v>
      </c>
      <c r="T12" s="100">
        <f t="shared" si="4"/>
        <v>306</v>
      </c>
      <c r="U12" s="101">
        <f t="shared" si="5"/>
        <v>2.0388106937619721E-2</v>
      </c>
    </row>
    <row r="13" spans="2:21" x14ac:dyDescent="0.2">
      <c r="I13" s="70"/>
      <c r="J13" s="70"/>
      <c r="K13" s="70"/>
      <c r="L13" s="70"/>
      <c r="M13" s="81"/>
      <c r="O13" s="75">
        <f t="shared" si="0"/>
        <v>2018</v>
      </c>
      <c r="P13" s="100">
        <v>256748351.60430366</v>
      </c>
      <c r="Q13" s="100">
        <f t="shared" si="2"/>
        <v>12134269.585042328</v>
      </c>
      <c r="R13" s="101">
        <f t="shared" si="3"/>
        <v>4.9605768747552542E-2</v>
      </c>
      <c r="S13" s="87">
        <f t="shared" si="1"/>
        <v>15660.166666666666</v>
      </c>
      <c r="T13" s="100">
        <f t="shared" si="4"/>
        <v>345.41666666666606</v>
      </c>
      <c r="U13" s="101">
        <f t="shared" si="5"/>
        <v>2.2554508997317362E-2</v>
      </c>
    </row>
    <row r="14" spans="2:21" x14ac:dyDescent="0.2">
      <c r="I14" s="70"/>
      <c r="J14" s="70"/>
      <c r="K14" s="70"/>
      <c r="L14" s="70"/>
      <c r="M14" s="81"/>
      <c r="O14" s="75">
        <f t="shared" si="0"/>
        <v>2019</v>
      </c>
      <c r="P14" s="100">
        <v>252725977.76269531</v>
      </c>
      <c r="Q14" s="100">
        <f t="shared" si="2"/>
        <v>-4022373.8416083455</v>
      </c>
      <c r="R14" s="101">
        <f t="shared" si="3"/>
        <v>-1.5666600453223403E-2</v>
      </c>
      <c r="S14" s="87">
        <f t="shared" si="1"/>
        <v>15823.833333333334</v>
      </c>
      <c r="T14" s="100">
        <f t="shared" si="4"/>
        <v>163.66666666666788</v>
      </c>
      <c r="U14" s="101">
        <f t="shared" si="5"/>
        <v>1.0451144623833371E-2</v>
      </c>
    </row>
    <row r="15" spans="2:21" x14ac:dyDescent="0.2">
      <c r="I15" s="70"/>
      <c r="J15" s="70"/>
      <c r="K15" s="70"/>
      <c r="L15" s="70"/>
      <c r="M15" s="81"/>
      <c r="O15" s="75">
        <f t="shared" si="0"/>
        <v>2020</v>
      </c>
      <c r="P15" s="100">
        <v>254347082.62766621</v>
      </c>
      <c r="Q15" s="100">
        <f t="shared" si="2"/>
        <v>1621104.8649708927</v>
      </c>
      <c r="R15" s="101">
        <f t="shared" si="3"/>
        <v>6.4144765778414679E-3</v>
      </c>
      <c r="S15" s="87">
        <f t="shared" si="1"/>
        <v>15866.666666666666</v>
      </c>
      <c r="T15" s="100">
        <f t="shared" si="4"/>
        <v>42.833333333332121</v>
      </c>
      <c r="U15" s="101">
        <f t="shared" si="5"/>
        <v>2.7068872902688214E-3</v>
      </c>
    </row>
    <row r="16" spans="2:21" x14ac:dyDescent="0.2">
      <c r="I16" s="70"/>
      <c r="J16" s="70"/>
      <c r="K16" s="70"/>
      <c r="L16" s="70"/>
      <c r="M16" s="81"/>
      <c r="O16" s="75">
        <f>+O17-1</f>
        <v>2021</v>
      </c>
      <c r="P16" s="100">
        <v>260728373.56735688</v>
      </c>
      <c r="Q16" s="100">
        <f t="shared" si="2"/>
        <v>6381290.9396906793</v>
      </c>
      <c r="R16" s="101">
        <f t="shared" si="3"/>
        <v>2.5088909508083991E-2</v>
      </c>
      <c r="S16" s="87">
        <f t="shared" si="1"/>
        <v>15983.25</v>
      </c>
      <c r="T16" s="100">
        <f t="shared" si="4"/>
        <v>116.58333333333394</v>
      </c>
      <c r="U16" s="101">
        <f t="shared" si="5"/>
        <v>7.3476890756302904E-3</v>
      </c>
    </row>
    <row r="17" spans="2:21" x14ac:dyDescent="0.2">
      <c r="I17" s="70"/>
      <c r="J17" s="70"/>
      <c r="K17" s="70"/>
      <c r="L17" s="70"/>
      <c r="M17" s="81"/>
      <c r="O17" s="75">
        <v>2022</v>
      </c>
      <c r="P17" s="100">
        <v>268116945.72267458</v>
      </c>
      <c r="Q17" s="100">
        <f t="shared" si="2"/>
        <v>7388572.1553176939</v>
      </c>
      <c r="R17" s="101">
        <f t="shared" si="3"/>
        <v>2.8338197543386744E-2</v>
      </c>
      <c r="S17" s="87">
        <f t="shared" si="1"/>
        <v>16058.75</v>
      </c>
      <c r="T17" s="100">
        <f t="shared" si="4"/>
        <v>75.5</v>
      </c>
      <c r="U17" s="101">
        <f t="shared" si="5"/>
        <v>4.7236951183269984E-3</v>
      </c>
    </row>
    <row r="18" spans="2:21" x14ac:dyDescent="0.2">
      <c r="I18" s="70"/>
      <c r="J18" s="70"/>
      <c r="K18" s="70"/>
      <c r="L18" s="70"/>
      <c r="M18" s="81"/>
      <c r="O18" s="88" t="s">
        <v>156</v>
      </c>
      <c r="P18" s="88">
        <v>259066908.31541246</v>
      </c>
      <c r="Q18" s="88">
        <f t="shared" ref="Q18:Q19" si="6">+P18-P17</f>
        <v>-9050037.4072621167</v>
      </c>
      <c r="R18" s="123">
        <f t="shared" ref="R18:R19" si="7">+Q18/P17</f>
        <v>-3.3754067214472064E-2</v>
      </c>
      <c r="S18" s="88">
        <f t="shared" si="1"/>
        <v>16119.916666666666</v>
      </c>
      <c r="T18" s="88">
        <f t="shared" ref="T18:T19" si="8">+S18-S17</f>
        <v>61.16666666666606</v>
      </c>
      <c r="U18" s="123">
        <f t="shared" ref="U18:U19" si="9">+T18/S17</f>
        <v>3.8089307490723786E-3</v>
      </c>
    </row>
    <row r="19" spans="2:21" x14ac:dyDescent="0.2">
      <c r="I19" s="70"/>
      <c r="J19" s="70"/>
      <c r="K19" s="70"/>
      <c r="L19" s="70"/>
      <c r="M19" s="81"/>
      <c r="O19" s="88" t="s">
        <v>157</v>
      </c>
      <c r="P19" s="88">
        <v>263859540.13704619</v>
      </c>
      <c r="Q19" s="88">
        <f t="shared" si="6"/>
        <v>4792631.8216337264</v>
      </c>
      <c r="R19" s="123">
        <f t="shared" si="7"/>
        <v>1.8499590907993253E-2</v>
      </c>
      <c r="S19" s="88">
        <f t="shared" si="1"/>
        <v>16262.702623938154</v>
      </c>
      <c r="T19" s="88">
        <f t="shared" si="8"/>
        <v>142.78595727148786</v>
      </c>
      <c r="U19" s="123">
        <f t="shared" si="9"/>
        <v>8.8577354476494109E-3</v>
      </c>
    </row>
    <row r="20" spans="2:21" ht="23.25" x14ac:dyDescent="0.35">
      <c r="B20" s="72" t="s">
        <v>110</v>
      </c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81"/>
      <c r="N20" s="47"/>
      <c r="O20" s="47"/>
      <c r="P20" s="47"/>
    </row>
    <row r="21" spans="2:21" ht="15" x14ac:dyDescent="0.2">
      <c r="B21" s="80" t="s">
        <v>80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47"/>
      <c r="P21" s="47"/>
    </row>
    <row r="22" spans="2:21" ht="14.25" x14ac:dyDescent="0.2">
      <c r="B22" s="79" t="s">
        <v>81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47"/>
      <c r="P22" s="47"/>
    </row>
    <row r="23" spans="2:21" ht="14.25" x14ac:dyDescent="0.2">
      <c r="B23" s="78" t="s">
        <v>82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47"/>
      <c r="P23" s="47"/>
    </row>
    <row r="24" spans="2:21" x14ac:dyDescent="0.2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47" t="s">
        <v>134</v>
      </c>
      <c r="P24" s="47"/>
    </row>
    <row r="25" spans="2:21" ht="24" customHeight="1" x14ac:dyDescent="0.2">
      <c r="B25" s="250" t="s">
        <v>116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70"/>
      <c r="O25" s="47"/>
      <c r="P25" s="47"/>
    </row>
    <row r="26" spans="2:21" ht="40.5" customHeight="1" x14ac:dyDescent="0.2">
      <c r="B26" s="254" t="s">
        <v>111</v>
      </c>
      <c r="C26" s="76" t="s">
        <v>100</v>
      </c>
      <c r="D26" s="76" t="s">
        <v>112</v>
      </c>
      <c r="E26" s="250" t="s">
        <v>113</v>
      </c>
      <c r="F26" s="252"/>
      <c r="G26" s="250" t="s">
        <v>114</v>
      </c>
      <c r="H26" s="252"/>
      <c r="I26" s="250" t="s">
        <v>68</v>
      </c>
      <c r="J26" s="252" t="s">
        <v>89</v>
      </c>
      <c r="K26" s="76" t="s">
        <v>115</v>
      </c>
      <c r="L26" s="250" t="s">
        <v>11</v>
      </c>
      <c r="M26" s="252" t="s">
        <v>92</v>
      </c>
      <c r="N26" s="70"/>
      <c r="O26" s="47"/>
      <c r="P26" s="47"/>
    </row>
    <row r="27" spans="2:21" ht="24" customHeight="1" x14ac:dyDescent="0.2">
      <c r="B27" s="255"/>
      <c r="C27" s="76" t="s">
        <v>61</v>
      </c>
      <c r="D27" s="76" t="s">
        <v>61</v>
      </c>
      <c r="E27" s="76" t="s">
        <v>61</v>
      </c>
      <c r="F27" s="76" t="s">
        <v>62</v>
      </c>
      <c r="G27" s="76" t="s">
        <v>61</v>
      </c>
      <c r="H27" s="76" t="s">
        <v>62</v>
      </c>
      <c r="I27" s="76" t="s">
        <v>61</v>
      </c>
      <c r="J27" s="76" t="s">
        <v>62</v>
      </c>
      <c r="K27" s="76" t="s">
        <v>61</v>
      </c>
      <c r="L27" s="76" t="s">
        <v>61</v>
      </c>
      <c r="M27" s="76" t="s">
        <v>62</v>
      </c>
      <c r="N27" s="70"/>
      <c r="O27" s="47"/>
      <c r="P27" s="47"/>
    </row>
    <row r="28" spans="2:21" x14ac:dyDescent="0.2">
      <c r="B28" s="88" t="s">
        <v>184</v>
      </c>
      <c r="C28" s="88">
        <v>90278404</v>
      </c>
      <c r="D28" s="88">
        <v>37678912</v>
      </c>
      <c r="E28" s="88">
        <v>121733913</v>
      </c>
      <c r="F28" s="88">
        <v>293725</v>
      </c>
      <c r="G28" s="88">
        <v>1861618</v>
      </c>
      <c r="H28" s="88">
        <v>5230</v>
      </c>
      <c r="I28" s="88">
        <v>122536</v>
      </c>
      <c r="J28" s="88">
        <v>339</v>
      </c>
      <c r="K28" s="88">
        <v>358304</v>
      </c>
      <c r="L28" s="88">
        <f>+C28+D28+E28+G28+I28+K28</f>
        <v>252033687</v>
      </c>
      <c r="M28" s="88">
        <f>F28+H28+J28</f>
        <v>299294</v>
      </c>
      <c r="N28" s="70"/>
      <c r="O28" s="47"/>
      <c r="P28" s="47"/>
    </row>
    <row r="29" spans="2:21" x14ac:dyDescent="0.2">
      <c r="B29" s="75">
        <f t="shared" ref="B29:B36" si="10">+B30-1</f>
        <v>2013</v>
      </c>
      <c r="C29" s="87">
        <f>SUMIF(Inputs!$B:$B,Summaries!$B29,Inputs!$P:$P)</f>
        <v>86202261.746603757</v>
      </c>
      <c r="D29" s="87">
        <f>SUMIF(Inputs!$B:$B,Summaries!$B29,Inputs!$R:$R)</f>
        <v>36449901.791789994</v>
      </c>
      <c r="E29" s="87">
        <f>SUMIF(Inputs!$B:$B,Summaries!$B29,Inputs!$T:$T)</f>
        <v>119884762.44284</v>
      </c>
      <c r="F29" s="87">
        <f>SUMIF(Inputs!$B:$B,Summaries!$B29,Inputs!$U:$U)</f>
        <v>288316.92000000004</v>
      </c>
      <c r="G29" s="87">
        <f>SUMIF(Inputs!$B:$B,Summaries!$B29,Inputs!$W:$W)</f>
        <v>1712978.1604808702</v>
      </c>
      <c r="H29" s="87">
        <f>SUMIF(Inputs!$B:$B,Summaries!$B29,Inputs!$X:$X)</f>
        <v>4780.3</v>
      </c>
      <c r="I29" s="87">
        <f>SUMIF(Inputs!$B:$B,Summaries!$B29,Inputs!$Z:$Z)</f>
        <v>106011.51098813729</v>
      </c>
      <c r="J29" s="87">
        <f>SUMIF(Inputs!$B:$B,Summaries!$B29,Inputs!$AA:$AA)</f>
        <v>292.3</v>
      </c>
      <c r="K29" s="87">
        <f>SUMIF(Inputs!$B:$B,Summaries!$B29,Inputs!$AC:$AC)</f>
        <v>384409.53280539409</v>
      </c>
      <c r="L29" s="87">
        <f>+C29+D29+E29+G29+I29+K29</f>
        <v>244740325.18550813</v>
      </c>
      <c r="M29" s="87">
        <f>F29+H29+J29</f>
        <v>293389.52</v>
      </c>
      <c r="N29" s="70"/>
      <c r="O29" s="47"/>
      <c r="P29" s="47"/>
    </row>
    <row r="30" spans="2:21" x14ac:dyDescent="0.2">
      <c r="B30" s="75">
        <f t="shared" si="10"/>
        <v>2014</v>
      </c>
      <c r="C30" s="87">
        <f>SUMIF(Inputs!$B:$B,Summaries!$B30,Inputs!$P:$P)</f>
        <v>85816558.384570569</v>
      </c>
      <c r="D30" s="87">
        <f>SUMIF(Inputs!$B:$B,Summaries!$B30,Inputs!$R:$R)</f>
        <v>35415553.049546637</v>
      </c>
      <c r="E30" s="87">
        <f>SUMIF(Inputs!$B:$B,Summaries!$B30,Inputs!$T:$T)</f>
        <v>123021881.80449331</v>
      </c>
      <c r="F30" s="87">
        <f>SUMIF(Inputs!$B:$B,Summaries!$B30,Inputs!$U:$U)</f>
        <v>293508.34999999998</v>
      </c>
      <c r="G30" s="87">
        <f>SUMIF(Inputs!$B:$B,Summaries!$B30,Inputs!$W:$W)</f>
        <v>1731641.5322965365</v>
      </c>
      <c r="H30" s="87">
        <f>SUMIF(Inputs!$B:$B,Summaries!$B30,Inputs!$X:$X)</f>
        <v>4826.93</v>
      </c>
      <c r="I30" s="87">
        <f>SUMIF(Inputs!$B:$B,Summaries!$B30,Inputs!$Z:$Z)</f>
        <v>105133.19775921054</v>
      </c>
      <c r="J30" s="87">
        <f>SUMIF(Inputs!$B:$B,Summaries!$B30,Inputs!$AA:$AA)</f>
        <v>289.40000000000003</v>
      </c>
      <c r="K30" s="87">
        <f>SUMIF(Inputs!$B:$B,Summaries!$B30,Inputs!$AC:$AC)</f>
        <v>386243.36172938795</v>
      </c>
      <c r="L30" s="87">
        <f>+C30+D30+E30+G30+I30+K30</f>
        <v>246477011.33039564</v>
      </c>
      <c r="M30" s="87">
        <f t="shared" ref="M30:M38" si="11">F30+H30+J30</f>
        <v>298624.68</v>
      </c>
      <c r="N30" s="70"/>
      <c r="O30" s="47"/>
      <c r="P30" s="47"/>
    </row>
    <row r="31" spans="2:21" x14ac:dyDescent="0.2">
      <c r="B31" s="75">
        <f t="shared" si="10"/>
        <v>2015</v>
      </c>
      <c r="C31" s="87">
        <f>SUMIF(Inputs!$B:$B,Summaries!$B31,Inputs!$P:$P)</f>
        <v>85926418.71876052</v>
      </c>
      <c r="D31" s="87">
        <f>SUMIF(Inputs!$B:$B,Summaries!$B31,Inputs!$R:$R)</f>
        <v>34168176.853738427</v>
      </c>
      <c r="E31" s="87">
        <f>SUMIF(Inputs!$B:$B,Summaries!$B31,Inputs!$T:$T)</f>
        <v>124266046.18177828</v>
      </c>
      <c r="F31" s="87">
        <f>SUMIF(Inputs!$B:$B,Summaries!$B31,Inputs!$U:$U)</f>
        <v>288680.5</v>
      </c>
      <c r="G31" s="87">
        <f>SUMIF(Inputs!$B:$B,Summaries!$B31,Inputs!$W:$W)</f>
        <v>1629825.7799828262</v>
      </c>
      <c r="H31" s="87">
        <f>SUMIF(Inputs!$B:$B,Summaries!$B31,Inputs!$X:$X)</f>
        <v>4599.0700000000006</v>
      </c>
      <c r="I31" s="87">
        <f>SUMIF(Inputs!$B:$B,Summaries!$B31,Inputs!$Z:$Z)</f>
        <v>104029.99681696936</v>
      </c>
      <c r="J31" s="87">
        <f>SUMIF(Inputs!$B:$B,Summaries!$B31,Inputs!$AA:$AA)</f>
        <v>286.49</v>
      </c>
      <c r="K31" s="87">
        <f>SUMIF(Inputs!$B:$B,Summaries!$B31,Inputs!$AC:$AC)</f>
        <v>382513.80184551654</v>
      </c>
      <c r="L31" s="87">
        <f t="shared" ref="L31:L38" si="12">+C31+D31+E31+G31+I31+K31</f>
        <v>246477011.33292255</v>
      </c>
      <c r="M31" s="87">
        <f t="shared" si="11"/>
        <v>293566.06</v>
      </c>
      <c r="N31" s="70"/>
      <c r="O31" s="47"/>
      <c r="P31" s="47"/>
    </row>
    <row r="32" spans="2:21" x14ac:dyDescent="0.2">
      <c r="B32" s="75">
        <f t="shared" si="10"/>
        <v>2016</v>
      </c>
      <c r="C32" s="87">
        <f>SUMIF(Inputs!$B:$B,Summaries!$B32,Inputs!$P:$P)</f>
        <v>86214190.382619157</v>
      </c>
      <c r="D32" s="87">
        <f>SUMIF(Inputs!$B:$B,Summaries!$B32,Inputs!$R:$R)</f>
        <v>34455638.026827835</v>
      </c>
      <c r="E32" s="87">
        <f>SUMIF(Inputs!$B:$B,Summaries!$B32,Inputs!$T:$T)</f>
        <v>126472988.41207671</v>
      </c>
      <c r="F32" s="87">
        <f>SUMIF(Inputs!$B:$B,Summaries!$B32,Inputs!$U:$U)</f>
        <v>306871.28999999998</v>
      </c>
      <c r="G32" s="87">
        <f>SUMIF(Inputs!$B:$B,Summaries!$B32,Inputs!$W:$W)</f>
        <v>890659.09741436888</v>
      </c>
      <c r="H32" s="87">
        <f>SUMIF(Inputs!$B:$B,Summaries!$B32,Inputs!$X:$X)</f>
        <v>2461.8700000000003</v>
      </c>
      <c r="I32" s="87">
        <f>SUMIF(Inputs!$B:$B,Summaries!$B32,Inputs!$Z:$Z)</f>
        <v>105564.9286945004</v>
      </c>
      <c r="J32" s="87">
        <f>SUMIF(Inputs!$B:$B,Summaries!$B32,Inputs!$AA:$AA)</f>
        <v>289.30000000000007</v>
      </c>
      <c r="K32" s="87">
        <f>SUMIF(Inputs!$B:$B,Summaries!$B32,Inputs!$AC:$AC)</f>
        <v>401383.11638747668</v>
      </c>
      <c r="L32" s="87">
        <f t="shared" si="12"/>
        <v>248540423.96402004</v>
      </c>
      <c r="M32" s="87">
        <f t="shared" si="11"/>
        <v>309622.45999999996</v>
      </c>
      <c r="N32" s="70"/>
      <c r="O32" s="47"/>
      <c r="P32" s="47"/>
    </row>
    <row r="33" spans="2:16" x14ac:dyDescent="0.2">
      <c r="B33" s="75">
        <f t="shared" si="10"/>
        <v>2017</v>
      </c>
      <c r="C33" s="87">
        <f>SUMIF(Inputs!$B:$B,Summaries!$B33,Inputs!$P:$P)</f>
        <v>83878663.289841563</v>
      </c>
      <c r="D33" s="87">
        <f>SUMIF(Inputs!$B:$B,Summaries!$B33,Inputs!$R:$R)</f>
        <v>34387085.601475</v>
      </c>
      <c r="E33" s="87">
        <f>SUMIF(Inputs!$B:$B,Summaries!$B33,Inputs!$T:$T)</f>
        <v>125001047.73669259</v>
      </c>
      <c r="F33" s="87">
        <f>SUMIF(Inputs!$B:$B,Summaries!$B33,Inputs!$U:$U)</f>
        <v>295314.63</v>
      </c>
      <c r="G33" s="87">
        <f>SUMIF(Inputs!$B:$B,Summaries!$B33,Inputs!$W:$W)</f>
        <v>863294.61883408076</v>
      </c>
      <c r="H33" s="87">
        <f>SUMIF(Inputs!$B:$B,Summaries!$B33,Inputs!$X:$X)</f>
        <v>2404.58</v>
      </c>
      <c r="I33" s="87">
        <f>SUMIF(Inputs!$B:$B,Summaries!$B33,Inputs!$Z:$Z)</f>
        <v>103381.18500143119</v>
      </c>
      <c r="J33" s="87">
        <f>SUMIF(Inputs!$B:$B,Summaries!$B33,Inputs!$AA:$AA)</f>
        <v>310.00000000000006</v>
      </c>
      <c r="K33" s="87">
        <f>SUMIF(Inputs!$B:$B,Summaries!$B33,Inputs!$AC:$AC)</f>
        <v>380609.58741668583</v>
      </c>
      <c r="L33" s="87">
        <f t="shared" si="12"/>
        <v>244614082.01926133</v>
      </c>
      <c r="M33" s="87">
        <f t="shared" si="11"/>
        <v>298029.21000000002</v>
      </c>
      <c r="N33" s="70"/>
      <c r="O33" s="47"/>
      <c r="P33" s="47"/>
    </row>
    <row r="34" spans="2:16" x14ac:dyDescent="0.2">
      <c r="B34" s="75">
        <f t="shared" si="10"/>
        <v>2018</v>
      </c>
      <c r="C34" s="87">
        <f>SUMIF(Inputs!$B:$B,Summaries!$B34,Inputs!$P:$P)</f>
        <v>91709432.73716554</v>
      </c>
      <c r="D34" s="87">
        <f>SUMIF(Inputs!$B:$B,Summaries!$B34,Inputs!$R:$R)</f>
        <v>35759952.621808477</v>
      </c>
      <c r="E34" s="87">
        <f>SUMIF(Inputs!$B:$B,Summaries!$B34,Inputs!$T:$T)</f>
        <v>127930297.35877302</v>
      </c>
      <c r="F34" s="87">
        <f>SUMIF(Inputs!$B:$B,Summaries!$B34,Inputs!$U:$U)</f>
        <v>297736.30999999994</v>
      </c>
      <c r="G34" s="87">
        <f>SUMIF(Inputs!$B:$B,Summaries!$B34,Inputs!$W:$W)</f>
        <v>870905.41933021648</v>
      </c>
      <c r="H34" s="87">
        <f>SUMIF(Inputs!$B:$B,Summaries!$B34,Inputs!$X:$X)</f>
        <v>2423.3099999999995</v>
      </c>
      <c r="I34" s="87">
        <f>SUMIF(Inputs!$B:$B,Summaries!$B34,Inputs!$Z:$Z)</f>
        <v>102424.28203415705</v>
      </c>
      <c r="J34" s="87">
        <f>SUMIF(Inputs!$B:$B,Summaries!$B34,Inputs!$AA:$AA)</f>
        <v>280.60000000000002</v>
      </c>
      <c r="K34" s="87">
        <f>SUMIF(Inputs!$B:$B,Summaries!$B34,Inputs!$AC:$AC)</f>
        <v>375339.18519225245</v>
      </c>
      <c r="L34" s="87">
        <f t="shared" si="12"/>
        <v>256748351.60430366</v>
      </c>
      <c r="M34" s="87">
        <f t="shared" si="11"/>
        <v>300440.21999999991</v>
      </c>
      <c r="N34" s="70"/>
      <c r="O34" s="47"/>
      <c r="P34" s="47"/>
    </row>
    <row r="35" spans="2:16" x14ac:dyDescent="0.2">
      <c r="B35" s="75">
        <f t="shared" si="10"/>
        <v>2019</v>
      </c>
      <c r="C35" s="87">
        <f>SUMIF(Inputs!$B:$B,Summaries!$B35,Inputs!$P:$P)</f>
        <v>89180443.270875081</v>
      </c>
      <c r="D35" s="87">
        <f>SUMIF(Inputs!$B:$B,Summaries!$B35,Inputs!$R:$R)</f>
        <v>34942744.746606827</v>
      </c>
      <c r="E35" s="87">
        <f>SUMIF(Inputs!$B:$B,Summaries!$B35,Inputs!$T:$T)</f>
        <v>127241231.81181008</v>
      </c>
      <c r="F35" s="87">
        <f>SUMIF(Inputs!$B:$B,Summaries!$B35,Inputs!$U:$U)</f>
        <v>298865.18999999994</v>
      </c>
      <c r="G35" s="87">
        <f>SUMIF(Inputs!$B:$B,Summaries!$B35,Inputs!$W:$W)</f>
        <v>883464.17326590978</v>
      </c>
      <c r="H35" s="87">
        <f>SUMIF(Inputs!$B:$B,Summaries!$B35,Inputs!$X:$X)</f>
        <v>2459.6399999999994</v>
      </c>
      <c r="I35" s="87">
        <f>SUMIF(Inputs!$B:$B,Summaries!$B35,Inputs!$Z:$Z)</f>
        <v>102754.57494513884</v>
      </c>
      <c r="J35" s="87">
        <f>SUMIF(Inputs!$B:$B,Summaries!$B35,Inputs!$AA:$AA)</f>
        <v>283.8</v>
      </c>
      <c r="K35" s="87">
        <f>SUMIF(Inputs!$B:$B,Summaries!$B35,Inputs!$AC:$AC)</f>
        <v>375339.18519225245</v>
      </c>
      <c r="L35" s="87">
        <f t="shared" si="12"/>
        <v>252725977.76269531</v>
      </c>
      <c r="M35" s="87">
        <f t="shared" si="11"/>
        <v>301608.62999999995</v>
      </c>
      <c r="N35" s="70"/>
      <c r="O35" s="47"/>
      <c r="P35" s="47"/>
    </row>
    <row r="36" spans="2:16" x14ac:dyDescent="0.2">
      <c r="B36" s="75">
        <f t="shared" si="10"/>
        <v>2020</v>
      </c>
      <c r="C36" s="87">
        <f>SUMIF(Inputs!$B:$B,Summaries!$B36,Inputs!$P:$P)</f>
        <v>95587067.984431669</v>
      </c>
      <c r="D36" s="87">
        <f>SUMIF(Inputs!$B:$B,Summaries!$B36,Inputs!$R:$R)</f>
        <v>33629605.964253612</v>
      </c>
      <c r="E36" s="87">
        <f>SUMIF(Inputs!$B:$B,Summaries!$B36,Inputs!$T:$T)</f>
        <v>123770623.32453001</v>
      </c>
      <c r="F36" s="87">
        <f>SUMIF(Inputs!$B:$B,Summaries!$B36,Inputs!$U:$U)</f>
        <v>278922.71999999997</v>
      </c>
      <c r="G36" s="87">
        <f>SUMIF(Inputs!$B:$B,Summaries!$B36,Inputs!$W:$W)</f>
        <v>881690.64974716154</v>
      </c>
      <c r="H36" s="87">
        <f>SUMIF(Inputs!$B:$B,Summaries!$B36,Inputs!$X:$X)</f>
        <v>2445.92</v>
      </c>
      <c r="I36" s="87">
        <f>SUMIF(Inputs!$B:$B,Summaries!$B36,Inputs!$Z:$Z)</f>
        <v>102755.519511497</v>
      </c>
      <c r="J36" s="87">
        <f>SUMIF(Inputs!$B:$B,Summaries!$B36,Inputs!$AA:$AA)</f>
        <v>282.2</v>
      </c>
      <c r="K36" s="87">
        <f>SUMIF(Inputs!$B:$B,Summaries!$B36,Inputs!$AC:$AC)</f>
        <v>375339.18519225245</v>
      </c>
      <c r="L36" s="87">
        <f t="shared" si="12"/>
        <v>254347082.62766621</v>
      </c>
      <c r="M36" s="87">
        <f t="shared" si="11"/>
        <v>281650.83999999997</v>
      </c>
      <c r="N36" s="70"/>
      <c r="O36" s="47"/>
      <c r="P36" s="47"/>
    </row>
    <row r="37" spans="2:16" x14ac:dyDescent="0.2">
      <c r="B37" s="75">
        <f>+B38-1</f>
        <v>2021</v>
      </c>
      <c r="C37" s="87">
        <f>SUMIF(Inputs!$B:$B,Summaries!$B37,Inputs!$P:$P)</f>
        <v>95087325.556198344</v>
      </c>
      <c r="D37" s="87">
        <f>SUMIF(Inputs!$B:$B,Summaries!$B37,Inputs!$R:$R)</f>
        <v>33533529.262311421</v>
      </c>
      <c r="E37" s="87">
        <f>SUMIF(Inputs!$B:$B,Summaries!$B37,Inputs!$T:$T)</f>
        <v>130759586.91982318</v>
      </c>
      <c r="F37" s="87">
        <f>SUMIF(Inputs!$B:$B,Summaries!$B37,Inputs!$U:$U)</f>
        <v>301675.62</v>
      </c>
      <c r="G37" s="87">
        <f>SUMIF(Inputs!$B:$B,Summaries!$B37,Inputs!$W:$W)</f>
        <v>870117.8322679135</v>
      </c>
      <c r="H37" s="87">
        <f>SUMIF(Inputs!$B:$B,Summaries!$B37,Inputs!$X:$X)</f>
        <v>2420.3500000000004</v>
      </c>
      <c r="I37" s="87">
        <f>SUMIF(Inputs!$B:$B,Summaries!$B37,Inputs!$Z:$Z)</f>
        <v>102474.81156378207</v>
      </c>
      <c r="J37" s="87">
        <f>SUMIF(Inputs!$B:$B,Summaries!$B37,Inputs!$AA:$AA)</f>
        <v>282</v>
      </c>
      <c r="K37" s="87">
        <f>SUMIF(Inputs!$B:$B,Summaries!$B37,Inputs!$AC:$AC)</f>
        <v>375339.18519225245</v>
      </c>
      <c r="L37" s="87">
        <f t="shared" si="12"/>
        <v>260728373.56735688</v>
      </c>
      <c r="M37" s="87">
        <f t="shared" si="11"/>
        <v>304377.96999999997</v>
      </c>
      <c r="N37" s="70"/>
      <c r="O37" s="47"/>
      <c r="P37" s="47"/>
    </row>
    <row r="38" spans="2:16" x14ac:dyDescent="0.2">
      <c r="B38" s="75">
        <v>2022</v>
      </c>
      <c r="C38" s="87">
        <f>SUMIF(Inputs!$B:$B,Summaries!$B38,Inputs!$P:$P)</f>
        <v>95371627.720710099</v>
      </c>
      <c r="D38" s="87">
        <f>SUMIF(Inputs!$B:$B,Summaries!$B38,Inputs!$R:$R)</f>
        <v>35235863.474724725</v>
      </c>
      <c r="E38" s="87">
        <f>SUMIF(Inputs!$B:$B,Summaries!$B38,Inputs!$T:$T)</f>
        <v>136159366.09102184</v>
      </c>
      <c r="F38" s="87">
        <f>SUMIF(Inputs!$B:$B,Summaries!$B38,Inputs!$U:$U)</f>
        <v>317681.46000000008</v>
      </c>
      <c r="G38" s="87">
        <f>SUMIF(Inputs!$B:$B,Summaries!$B38,Inputs!$W:$W)</f>
        <v>875006.27802690573</v>
      </c>
      <c r="H38" s="87">
        <f>SUMIF(Inputs!$B:$B,Summaries!$B38,Inputs!$X:$X)</f>
        <v>2434.08</v>
      </c>
      <c r="I38" s="87">
        <f>SUMIF(Inputs!$B:$B,Summaries!$B38,Inputs!$Z:$Z)</f>
        <v>99742.972998759651</v>
      </c>
      <c r="J38" s="87">
        <f>SUMIF(Inputs!$B:$B,Summaries!$B38,Inputs!$AA:$AA)</f>
        <v>278.2</v>
      </c>
      <c r="K38" s="87">
        <f>SUMIF(Inputs!$B:$B,Summaries!$B38,Inputs!$AC:$AC)</f>
        <v>375339.18519225251</v>
      </c>
      <c r="L38" s="87">
        <f t="shared" si="12"/>
        <v>268116945.72267458</v>
      </c>
      <c r="M38" s="87">
        <f t="shared" si="11"/>
        <v>320393.74000000011</v>
      </c>
      <c r="N38" s="70"/>
      <c r="O38" s="47"/>
      <c r="P38" s="47"/>
    </row>
    <row r="39" spans="2:16" x14ac:dyDescent="0.2">
      <c r="B39" s="88" t="s">
        <v>156</v>
      </c>
      <c r="C39" s="88">
        <f>+Summary!L15</f>
        <v>91628868.162093714</v>
      </c>
      <c r="D39" s="88">
        <f>+Summary!L19</f>
        <v>33536336.924245115</v>
      </c>
      <c r="E39" s="88">
        <f>+Summary!L23</f>
        <v>132562052.31591827</v>
      </c>
      <c r="F39" s="88">
        <f>+Summary!L24</f>
        <v>312524.7633633946</v>
      </c>
      <c r="G39" s="88">
        <f>+Summary!L28</f>
        <v>868557.32053391018</v>
      </c>
      <c r="H39" s="88">
        <f>+Summary!L29</f>
        <v>2436.1070625659263</v>
      </c>
      <c r="I39" s="88">
        <f>+Summary!L33</f>
        <v>99584.399114818865</v>
      </c>
      <c r="J39" s="88">
        <f>+Summary!L34</f>
        <v>276.80983328597222</v>
      </c>
      <c r="K39" s="88">
        <f>+Summary!L38</f>
        <v>371509.19350661727</v>
      </c>
      <c r="L39" s="88">
        <f t="shared" ref="L39:L40" si="13">+C39+D39+E39+G39+I39+K39</f>
        <v>259066908.31541243</v>
      </c>
      <c r="M39" s="88">
        <f t="shared" ref="M39:M40" si="14">F39+H39+J39</f>
        <v>315237.6802592465</v>
      </c>
      <c r="N39" s="70"/>
      <c r="O39" s="47"/>
      <c r="P39" s="47"/>
    </row>
    <row r="40" spans="2:16" x14ac:dyDescent="0.2">
      <c r="B40" s="88" t="s">
        <v>157</v>
      </c>
      <c r="C40" s="88">
        <f>+Summary!M15</f>
        <v>94221374.619588077</v>
      </c>
      <c r="D40" s="88">
        <f>+Summary!M19</f>
        <v>34233745.966155298</v>
      </c>
      <c r="E40" s="88">
        <f>+Summary!M23</f>
        <v>134063931.78607029</v>
      </c>
      <c r="F40" s="88">
        <f>+Summary!M24</f>
        <v>316065.55439528805</v>
      </c>
      <c r="G40" s="88">
        <f>+Summary!M28</f>
        <v>871821.39252327662</v>
      </c>
      <c r="H40" s="88">
        <f>+Summary!M29</f>
        <v>2445.262047087997</v>
      </c>
      <c r="I40" s="88">
        <f>+Summary!M33</f>
        <v>99648.051869478732</v>
      </c>
      <c r="J40" s="88">
        <f>+Summary!M34</f>
        <v>276.98676570271829</v>
      </c>
      <c r="K40" s="88">
        <f>+Summary!M38</f>
        <v>369018.32083981927</v>
      </c>
      <c r="L40" s="88">
        <f t="shared" si="13"/>
        <v>263859540.13704625</v>
      </c>
      <c r="M40" s="88">
        <f t="shared" si="14"/>
        <v>318787.80320807878</v>
      </c>
      <c r="N40" s="70"/>
      <c r="O40" s="47"/>
      <c r="P40" s="47"/>
    </row>
    <row r="42" spans="2:16" x14ac:dyDescent="0.2">
      <c r="C42">
        <v>1</v>
      </c>
      <c r="D42">
        <v>2</v>
      </c>
      <c r="E42">
        <v>3</v>
      </c>
      <c r="F42">
        <v>4</v>
      </c>
      <c r="G42">
        <v>5</v>
      </c>
      <c r="H42">
        <v>6</v>
      </c>
      <c r="I42">
        <v>7</v>
      </c>
      <c r="J42">
        <v>8</v>
      </c>
      <c r="K42">
        <v>9</v>
      </c>
      <c r="L42">
        <v>10</v>
      </c>
      <c r="M42">
        <v>11</v>
      </c>
      <c r="N42">
        <v>12</v>
      </c>
    </row>
    <row r="43" spans="2:16" ht="23.25" x14ac:dyDescent="0.35">
      <c r="B43" s="72" t="s">
        <v>134</v>
      </c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81"/>
      <c r="N43" s="47"/>
      <c r="O43" s="47"/>
      <c r="P43" s="47"/>
    </row>
    <row r="44" spans="2:16" ht="15" x14ac:dyDescent="0.2">
      <c r="B44" s="80" t="s">
        <v>80</v>
      </c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47"/>
      <c r="P44" s="47"/>
    </row>
    <row r="45" spans="2:16" ht="14.25" x14ac:dyDescent="0.2">
      <c r="B45" s="79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47"/>
      <c r="P45" s="47"/>
    </row>
    <row r="46" spans="2:16" ht="14.25" x14ac:dyDescent="0.2">
      <c r="B46" s="78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47"/>
      <c r="P46" s="47"/>
    </row>
    <row r="47" spans="2:16" x14ac:dyDescent="0.2">
      <c r="B47" s="181" t="s">
        <v>256</v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47" t="s">
        <v>134</v>
      </c>
      <c r="P47" s="47"/>
    </row>
    <row r="48" spans="2:16" ht="24" customHeight="1" x14ac:dyDescent="0.2">
      <c r="B48" s="250" t="s">
        <v>135</v>
      </c>
      <c r="C48" s="253"/>
      <c r="D48" s="253"/>
      <c r="E48" s="253"/>
      <c r="F48" s="253"/>
      <c r="G48" s="253"/>
      <c r="H48" s="253"/>
      <c r="I48" s="253"/>
      <c r="J48" s="70"/>
      <c r="K48" s="70"/>
      <c r="L48" s="70"/>
      <c r="M48" s="70"/>
      <c r="N48" s="70"/>
      <c r="O48" s="47"/>
      <c r="P48" s="47"/>
    </row>
    <row r="49" spans="2:16" ht="40.5" customHeight="1" x14ac:dyDescent="0.2">
      <c r="B49" s="95" t="s">
        <v>111</v>
      </c>
      <c r="C49" s="76" t="s">
        <v>100</v>
      </c>
      <c r="D49" s="76" t="s">
        <v>112</v>
      </c>
      <c r="E49" s="96" t="s">
        <v>113</v>
      </c>
      <c r="F49" s="96" t="s">
        <v>114</v>
      </c>
      <c r="G49" s="96" t="s">
        <v>68</v>
      </c>
      <c r="H49" s="76" t="s">
        <v>115</v>
      </c>
      <c r="I49" s="96" t="s">
        <v>11</v>
      </c>
      <c r="J49" s="70"/>
      <c r="N49" s="70"/>
      <c r="O49" s="47"/>
      <c r="P49" s="47"/>
    </row>
    <row r="50" spans="2:16" ht="12.75" customHeight="1" x14ac:dyDescent="0.2">
      <c r="B50" s="88" t="s">
        <v>184</v>
      </c>
      <c r="C50" s="88">
        <v>10325</v>
      </c>
      <c r="D50" s="88">
        <v>1141</v>
      </c>
      <c r="E50" s="88">
        <v>124</v>
      </c>
      <c r="F50" s="88">
        <v>2870</v>
      </c>
      <c r="G50" s="88">
        <v>155</v>
      </c>
      <c r="H50" s="88">
        <v>104</v>
      </c>
      <c r="I50" s="88">
        <v>14719</v>
      </c>
      <c r="J50" s="70"/>
      <c r="N50" s="70"/>
      <c r="O50" s="47"/>
      <c r="P50" s="47"/>
    </row>
    <row r="51" spans="2:16" x14ac:dyDescent="0.2">
      <c r="B51" s="75">
        <f t="shared" ref="B51:B58" si="15">+B52-1</f>
        <v>2013</v>
      </c>
      <c r="C51" s="87" cm="1">
        <f t="array" ref="C51:C62">TRANSPOSE(Summary!B14:M14)</f>
        <v>10211.583333333334</v>
      </c>
      <c r="D51" s="87" cm="1">
        <f t="array" ref="D51:D62">TRANSPOSE(Summary!B18:M18)</f>
        <v>1122.75</v>
      </c>
      <c r="E51" s="87" cm="1">
        <f t="array" ref="E51:E62">TRANSPOSE(Summary!B22:M22)</f>
        <v>124.66666666666667</v>
      </c>
      <c r="F51" s="87" cm="1">
        <f t="array" ref="F51:F62">TRANSPOSE(Summary!B27:M27)</f>
        <v>2853.9166666666665</v>
      </c>
      <c r="G51" s="87" cm="1">
        <f t="array" ref="G51:G62">TRANSPOSE(Summary!B32:M32)</f>
        <v>156</v>
      </c>
      <c r="H51" s="87" cm="1">
        <f t="array" ref="H51:H62">TRANSPOSE(Summary!B37:M37)</f>
        <v>103.75</v>
      </c>
      <c r="I51" s="87">
        <f>SUM(C51:H51)</f>
        <v>14572.666666666666</v>
      </c>
      <c r="J51" s="70"/>
      <c r="N51" s="70"/>
      <c r="O51" s="47"/>
      <c r="P51" s="47"/>
    </row>
    <row r="52" spans="2:16" x14ac:dyDescent="0.2">
      <c r="B52" s="75">
        <f t="shared" si="15"/>
        <v>2014</v>
      </c>
      <c r="C52" s="87">
        <v>10344.166666666666</v>
      </c>
      <c r="D52" s="87">
        <v>1138.4166666666667</v>
      </c>
      <c r="E52" s="87">
        <v>132.08333333333334</v>
      </c>
      <c r="F52" s="87">
        <v>2895.75</v>
      </c>
      <c r="G52" s="87">
        <v>152.16666666666666</v>
      </c>
      <c r="H52" s="87">
        <v>104</v>
      </c>
      <c r="I52" s="87">
        <f t="shared" ref="I52:I62" si="16">SUM(C52:H52)</f>
        <v>14766.583333333332</v>
      </c>
      <c r="J52" s="70"/>
      <c r="N52" s="70"/>
      <c r="O52" s="47"/>
      <c r="P52" s="47"/>
    </row>
    <row r="53" spans="2:16" x14ac:dyDescent="0.2">
      <c r="B53" s="75">
        <f t="shared" si="15"/>
        <v>2015</v>
      </c>
      <c r="C53" s="87">
        <v>10502.083333333334</v>
      </c>
      <c r="D53" s="87">
        <v>1133.75</v>
      </c>
      <c r="E53" s="87">
        <v>138.75</v>
      </c>
      <c r="F53" s="87">
        <v>2916.25</v>
      </c>
      <c r="G53" s="87">
        <v>150.83333333333334</v>
      </c>
      <c r="H53" s="87">
        <v>96.5</v>
      </c>
      <c r="I53" s="87">
        <f t="shared" si="16"/>
        <v>14938.166666666668</v>
      </c>
      <c r="J53" s="70"/>
      <c r="N53" s="70"/>
      <c r="O53" s="47"/>
      <c r="P53" s="47"/>
    </row>
    <row r="54" spans="2:16" x14ac:dyDescent="0.2">
      <c r="B54" s="75">
        <f t="shared" si="15"/>
        <v>2016</v>
      </c>
      <c r="C54" s="87">
        <v>10634.083333333334</v>
      </c>
      <c r="D54" s="87">
        <v>1133.0833333333333</v>
      </c>
      <c r="E54" s="87">
        <v>139.91666666666666</v>
      </c>
      <c r="F54" s="87">
        <v>2852.25</v>
      </c>
      <c r="G54" s="87">
        <v>152.41666666666666</v>
      </c>
      <c r="H54" s="87">
        <v>97</v>
      </c>
      <c r="I54" s="87">
        <f t="shared" si="16"/>
        <v>15008.75</v>
      </c>
      <c r="J54" s="70"/>
      <c r="N54" s="70"/>
      <c r="O54" s="47"/>
      <c r="P54" s="47"/>
    </row>
    <row r="55" spans="2:16" x14ac:dyDescent="0.2">
      <c r="B55" s="75">
        <f t="shared" si="15"/>
        <v>2017</v>
      </c>
      <c r="C55" s="87">
        <v>10912.666666666666</v>
      </c>
      <c r="D55" s="87">
        <v>1143.1666666666667</v>
      </c>
      <c r="E55" s="87">
        <v>134.33333333333334</v>
      </c>
      <c r="F55" s="87">
        <v>2876.75</v>
      </c>
      <c r="G55" s="87">
        <v>150.83333333333334</v>
      </c>
      <c r="H55" s="87">
        <v>97</v>
      </c>
      <c r="I55" s="87">
        <f t="shared" si="16"/>
        <v>15314.75</v>
      </c>
      <c r="J55" s="70"/>
      <c r="N55" s="70"/>
      <c r="O55" s="47"/>
      <c r="P55" s="47"/>
    </row>
    <row r="56" spans="2:16" x14ac:dyDescent="0.2">
      <c r="B56" s="75">
        <f t="shared" si="15"/>
        <v>2018</v>
      </c>
      <c r="C56" s="87">
        <v>11219.083333333334</v>
      </c>
      <c r="D56" s="87">
        <v>1154.5</v>
      </c>
      <c r="E56" s="87">
        <v>135.91666666666666</v>
      </c>
      <c r="F56" s="87">
        <v>2900</v>
      </c>
      <c r="G56" s="87">
        <v>153.66666666666666</v>
      </c>
      <c r="H56" s="87">
        <v>97</v>
      </c>
      <c r="I56" s="87">
        <f t="shared" si="16"/>
        <v>15660.166666666666</v>
      </c>
      <c r="J56" s="70"/>
      <c r="N56" s="70"/>
      <c r="O56" s="47"/>
      <c r="P56" s="47"/>
    </row>
    <row r="57" spans="2:16" x14ac:dyDescent="0.2">
      <c r="B57" s="75">
        <f t="shared" si="15"/>
        <v>2019</v>
      </c>
      <c r="C57" s="87">
        <v>11336</v>
      </c>
      <c r="D57" s="87">
        <v>1164.0833333333333</v>
      </c>
      <c r="E57" s="87">
        <v>132.25</v>
      </c>
      <c r="F57" s="87">
        <v>2939</v>
      </c>
      <c r="G57" s="87">
        <v>155.5</v>
      </c>
      <c r="H57" s="87">
        <v>97</v>
      </c>
      <c r="I57" s="87">
        <f t="shared" si="16"/>
        <v>15823.833333333334</v>
      </c>
      <c r="J57" s="70"/>
      <c r="N57" s="70"/>
      <c r="O57" s="47"/>
      <c r="P57" s="47"/>
    </row>
    <row r="58" spans="2:16" x14ac:dyDescent="0.2">
      <c r="B58" s="75">
        <f t="shared" si="15"/>
        <v>2020</v>
      </c>
      <c r="C58" s="87">
        <v>11381.916666666666</v>
      </c>
      <c r="D58" s="87">
        <v>1163.8333333333333</v>
      </c>
      <c r="E58" s="87">
        <v>122.08333333333333</v>
      </c>
      <c r="F58" s="87">
        <v>2944.1666666666665</v>
      </c>
      <c r="G58" s="87">
        <v>157.66666666666666</v>
      </c>
      <c r="H58" s="87">
        <v>97</v>
      </c>
      <c r="I58" s="87">
        <f t="shared" si="16"/>
        <v>15866.666666666666</v>
      </c>
      <c r="J58" s="70"/>
      <c r="N58" s="70"/>
      <c r="O58" s="47"/>
      <c r="P58" s="47"/>
    </row>
    <row r="59" spans="2:16" x14ac:dyDescent="0.2">
      <c r="B59" s="75">
        <f>+B60-1</f>
        <v>2021</v>
      </c>
      <c r="C59" s="87">
        <v>11468.75</v>
      </c>
      <c r="D59" s="87">
        <v>1166.5833333333333</v>
      </c>
      <c r="E59" s="87">
        <v>126</v>
      </c>
      <c r="F59" s="87">
        <v>2965.9166666666665</v>
      </c>
      <c r="G59" s="87">
        <v>158</v>
      </c>
      <c r="H59" s="87">
        <v>98</v>
      </c>
      <c r="I59" s="87">
        <f t="shared" si="16"/>
        <v>15983.25</v>
      </c>
      <c r="J59" s="70"/>
      <c r="N59" s="70"/>
      <c r="O59" s="47"/>
      <c r="P59" s="47"/>
    </row>
    <row r="60" spans="2:16" x14ac:dyDescent="0.2">
      <c r="B60" s="75">
        <v>2022</v>
      </c>
      <c r="C60" s="87">
        <v>11526.25</v>
      </c>
      <c r="D60" s="87">
        <v>1166.5</v>
      </c>
      <c r="E60" s="87">
        <v>125.75</v>
      </c>
      <c r="F60" s="87">
        <v>2985</v>
      </c>
      <c r="G60" s="87">
        <v>157.25</v>
      </c>
      <c r="H60" s="87">
        <v>98</v>
      </c>
      <c r="I60" s="87">
        <f t="shared" si="16"/>
        <v>16058.75</v>
      </c>
      <c r="J60" s="70"/>
      <c r="N60" s="70"/>
      <c r="O60" s="47"/>
      <c r="P60" s="47"/>
    </row>
    <row r="61" spans="2:16" ht="12.75" customHeight="1" x14ac:dyDescent="0.2">
      <c r="B61" s="88" t="str">
        <f>+B39</f>
        <v>2023 Bridge</v>
      </c>
      <c r="C61" s="88">
        <v>11612.666666666666</v>
      </c>
      <c r="D61" s="88">
        <v>1164.25</v>
      </c>
      <c r="E61" s="88">
        <v>126</v>
      </c>
      <c r="F61" s="88">
        <v>2963</v>
      </c>
      <c r="G61" s="88">
        <v>157</v>
      </c>
      <c r="H61" s="88">
        <v>97</v>
      </c>
      <c r="I61" s="88">
        <f t="shared" si="16"/>
        <v>16119.916666666666</v>
      </c>
      <c r="J61" s="70"/>
      <c r="N61" s="70"/>
      <c r="O61" s="47"/>
      <c r="P61" s="47"/>
    </row>
    <row r="62" spans="2:16" ht="12.75" customHeight="1" x14ac:dyDescent="0.2">
      <c r="B62" s="88" t="str">
        <f>+B40</f>
        <v>2024 Test</v>
      </c>
      <c r="C62" s="88">
        <v>11740.5</v>
      </c>
      <c r="D62" s="88">
        <v>1168.4834481663743</v>
      </c>
      <c r="E62" s="88">
        <v>126.13411514324987</v>
      </c>
      <c r="F62" s="88">
        <v>2974.135068550856</v>
      </c>
      <c r="G62" s="88">
        <v>157.10035188815147</v>
      </c>
      <c r="H62" s="88">
        <v>96.349640189523058</v>
      </c>
      <c r="I62" s="88">
        <f t="shared" si="16"/>
        <v>16262.702623938154</v>
      </c>
      <c r="J62" s="70"/>
      <c r="N62" s="70"/>
      <c r="O62" s="47"/>
      <c r="P62" s="47"/>
    </row>
    <row r="63" spans="2:16" x14ac:dyDescent="0.2">
      <c r="J63" s="70"/>
    </row>
    <row r="64" spans="2:16" ht="23.25" x14ac:dyDescent="0.35">
      <c r="B64" s="72" t="s">
        <v>79</v>
      </c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81"/>
      <c r="N64" s="47"/>
      <c r="O64" s="47"/>
      <c r="P64" s="47"/>
    </row>
    <row r="65" spans="2:16" ht="15" x14ac:dyDescent="0.2">
      <c r="B65" s="80" t="s">
        <v>80</v>
      </c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47"/>
      <c r="P65" s="47"/>
    </row>
    <row r="66" spans="2:16" ht="14.25" x14ac:dyDescent="0.2">
      <c r="B66" s="79" t="s">
        <v>81</v>
      </c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47"/>
      <c r="P66" s="47"/>
    </row>
    <row r="67" spans="2:16" ht="14.25" x14ac:dyDescent="0.2">
      <c r="B67" s="78" t="s">
        <v>82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47"/>
      <c r="P67" s="47"/>
    </row>
    <row r="68" spans="2:16" x14ac:dyDescent="0.2"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47"/>
      <c r="P68" s="47"/>
    </row>
    <row r="69" spans="2:16" ht="24" customHeight="1" x14ac:dyDescent="0.2">
      <c r="B69" s="76" t="s">
        <v>98</v>
      </c>
      <c r="C69" s="76" t="s">
        <v>83</v>
      </c>
      <c r="D69" s="76" t="s">
        <v>84</v>
      </c>
      <c r="E69" s="76" t="s">
        <v>85</v>
      </c>
      <c r="F69" s="76" t="s">
        <v>86</v>
      </c>
      <c r="G69" s="76" t="s">
        <v>60</v>
      </c>
      <c r="H69" s="76" t="s">
        <v>87</v>
      </c>
      <c r="I69" s="76" t="s">
        <v>88</v>
      </c>
      <c r="J69" s="76" t="s">
        <v>89</v>
      </c>
      <c r="K69" s="76" t="s">
        <v>90</v>
      </c>
      <c r="L69" s="76" t="s">
        <v>91</v>
      </c>
      <c r="M69" s="76" t="s">
        <v>92</v>
      </c>
      <c r="N69" s="76" t="s">
        <v>93</v>
      </c>
      <c r="O69" s="47"/>
      <c r="P69" s="47"/>
    </row>
    <row r="70" spans="2:16" x14ac:dyDescent="0.2">
      <c r="B70" s="75">
        <f t="shared" ref="B70:B77" si="17">+B71-1</f>
        <v>2013</v>
      </c>
      <c r="C70" s="87">
        <f>SUMIF(Inputs!$A:$A,Summaries!$B70&amp;C$42,Inputs!$D:$D)</f>
        <v>23103232.740000002</v>
      </c>
      <c r="D70" s="87">
        <f>SUMIF(Inputs!$A:$A,Summaries!$B70&amp;D$42,Inputs!$D:$D)</f>
        <v>21143805.780000001</v>
      </c>
      <c r="E70" s="87">
        <f>SUMIF(Inputs!$A:$A,Summaries!$B70&amp;E$42,Inputs!$D:$D)</f>
        <v>22021932.285</v>
      </c>
      <c r="F70" s="87">
        <f>SUMIF(Inputs!$A:$A,Summaries!$B70&amp;F$42,Inputs!$D:$D)</f>
        <v>20056096.465</v>
      </c>
      <c r="G70" s="87">
        <f>SUMIF(Inputs!$A:$A,Summaries!$B70&amp;G$42,Inputs!$D:$D)</f>
        <v>19849846.864999998</v>
      </c>
      <c r="H70" s="87">
        <f>SUMIF(Inputs!$A:$A,Summaries!$B70&amp;H$42,Inputs!$D:$D)</f>
        <v>20147779.544999998</v>
      </c>
      <c r="I70" s="87">
        <f>SUMIF(Inputs!$A:$A,Summaries!$B70&amp;I$42,Inputs!$D:$D)</f>
        <v>22076027.195</v>
      </c>
      <c r="J70" s="87">
        <f>SUMIF(Inputs!$A:$A,Summaries!$B70&amp;J$42,Inputs!$D:$D)</f>
        <v>21280806.869999997</v>
      </c>
      <c r="K70" s="87">
        <f>SUMIF(Inputs!$A:$A,Summaries!$B70&amp;K$42,Inputs!$D:$D)</f>
        <v>19603273.836052112</v>
      </c>
      <c r="L70" s="87">
        <f>SUMIF(Inputs!$A:$A,Summaries!$B70&amp;L$42,Inputs!$D:$D)</f>
        <v>20353929.379999995</v>
      </c>
      <c r="M70" s="87">
        <f>SUMIF(Inputs!$A:$A,Summaries!$B70&amp;M$42,Inputs!$D:$D)</f>
        <v>21325343.805</v>
      </c>
      <c r="N70" s="87">
        <f>SUMIF(Inputs!$A:$A,Summaries!$B70&amp;N$42,Inputs!$D:$D)</f>
        <v>22832457.52</v>
      </c>
      <c r="O70" s="47"/>
      <c r="P70" s="47"/>
    </row>
    <row r="71" spans="2:16" x14ac:dyDescent="0.2">
      <c r="B71" s="75">
        <f t="shared" si="17"/>
        <v>2014</v>
      </c>
      <c r="C71" s="87">
        <f>SUMIF(Inputs!$A:$A,Summaries!$B71&amp;C$42,Inputs!$D:$D)</f>
        <v>24790039.349999998</v>
      </c>
      <c r="D71" s="87">
        <f>SUMIF(Inputs!$A:$A,Summaries!$B71&amp;D$42,Inputs!$D:$D)</f>
        <v>21747839.690000001</v>
      </c>
      <c r="E71" s="87">
        <f>SUMIF(Inputs!$A:$A,Summaries!$B71&amp;E$42,Inputs!$D:$D)</f>
        <v>23077253.934999999</v>
      </c>
      <c r="F71" s="87">
        <f>SUMIF(Inputs!$A:$A,Summaries!$B71&amp;F$42,Inputs!$D:$D)</f>
        <v>20129764.705000002</v>
      </c>
      <c r="G71" s="87">
        <f>SUMIF(Inputs!$A:$A,Summaries!$B71&amp;G$42,Inputs!$D:$D)</f>
        <v>19632003.695</v>
      </c>
      <c r="H71" s="87">
        <f>SUMIF(Inputs!$A:$A,Summaries!$B71&amp;H$42,Inputs!$D:$D)</f>
        <v>20417295.370000001</v>
      </c>
      <c r="I71" s="87">
        <f>SUMIF(Inputs!$A:$A,Summaries!$B71&amp;I$42,Inputs!$D:$D)</f>
        <v>20942891.695</v>
      </c>
      <c r="J71" s="87">
        <f>SUMIF(Inputs!$A:$A,Summaries!$B71&amp;J$42,Inputs!$D:$D)</f>
        <v>20954818.989999998</v>
      </c>
      <c r="K71" s="87">
        <f>SUMIF(Inputs!$A:$A,Summaries!$B71&amp;K$42,Inputs!$D:$D)</f>
        <v>20036155.765000001</v>
      </c>
      <c r="L71" s="87">
        <f>SUMIF(Inputs!$A:$A,Summaries!$B71&amp;L$42,Inputs!$D:$D)</f>
        <v>20750967.593591224</v>
      </c>
      <c r="M71" s="87">
        <f>SUMIF(Inputs!$A:$A,Summaries!$B71&amp;M$42,Inputs!$D:$D)</f>
        <v>21634719.905000001</v>
      </c>
      <c r="N71" s="87">
        <f>SUMIF(Inputs!$A:$A,Summaries!$B71&amp;N$42,Inputs!$D:$D)</f>
        <v>22349924.59</v>
      </c>
      <c r="O71" s="47"/>
      <c r="P71" s="47"/>
    </row>
    <row r="72" spans="2:16" x14ac:dyDescent="0.2">
      <c r="B72" s="75">
        <f t="shared" si="17"/>
        <v>2015</v>
      </c>
      <c r="C72" s="87">
        <f>SUMIF(Inputs!$A:$A,Summaries!$B72&amp;C$42,Inputs!$D:$D)</f>
        <v>24334160.370000001</v>
      </c>
      <c r="D72" s="87">
        <f>SUMIF(Inputs!$A:$A,Summaries!$B72&amp;D$42,Inputs!$D:$D)</f>
        <v>22733400.235000003</v>
      </c>
      <c r="E72" s="87">
        <f>SUMIF(Inputs!$A:$A,Summaries!$B72&amp;E$42,Inputs!$D:$D)</f>
        <v>22719770.995000001</v>
      </c>
      <c r="F72" s="87">
        <f>SUMIF(Inputs!$A:$A,Summaries!$B72&amp;F$42,Inputs!$D:$D)</f>
        <v>19884327.555</v>
      </c>
      <c r="G72" s="87">
        <f>SUMIF(Inputs!$A:$A,Summaries!$B72&amp;G$42,Inputs!$D:$D)</f>
        <v>20081857.650000002</v>
      </c>
      <c r="H72" s="87">
        <f>SUMIF(Inputs!$A:$A,Summaries!$B72&amp;H$42,Inputs!$D:$D)</f>
        <v>19967931.074999999</v>
      </c>
      <c r="I72" s="87">
        <f>SUMIF(Inputs!$A:$A,Summaries!$B72&amp;I$42,Inputs!$D:$D)</f>
        <v>22033398.199999999</v>
      </c>
      <c r="J72" s="87">
        <f>SUMIF(Inputs!$A:$A,Summaries!$B72&amp;J$42,Inputs!$D:$D)</f>
        <v>21201546.775000002</v>
      </c>
      <c r="K72" s="87">
        <f>SUMIF(Inputs!$A:$A,Summaries!$B72&amp;K$42,Inputs!$D:$D)</f>
        <v>21227652.564999998</v>
      </c>
      <c r="L72" s="87">
        <f>SUMIF(Inputs!$A:$A,Summaries!$B72&amp;L$42,Inputs!$D:$D)</f>
        <v>20191537.286509268</v>
      </c>
      <c r="M72" s="87">
        <f>SUMIF(Inputs!$A:$A,Summaries!$B72&amp;M$42,Inputs!$D:$D)</f>
        <v>20615659.954999998</v>
      </c>
      <c r="N72" s="87">
        <f>SUMIF(Inputs!$A:$A,Summaries!$B72&amp;N$42,Inputs!$D:$D)</f>
        <v>21383445.974999998</v>
      </c>
      <c r="O72" s="47"/>
      <c r="P72" s="47"/>
    </row>
    <row r="73" spans="2:16" x14ac:dyDescent="0.2">
      <c r="B73" s="75">
        <f t="shared" si="17"/>
        <v>2016</v>
      </c>
      <c r="C73" s="87">
        <f>SUMIF(Inputs!$A:$A,Summaries!$B73&amp;C$42,Inputs!$D:$D)</f>
        <v>23561827.41</v>
      </c>
      <c r="D73" s="87">
        <f>SUMIF(Inputs!$A:$A,Summaries!$B73&amp;D$42,Inputs!$D:$D)</f>
        <v>21655030.84</v>
      </c>
      <c r="E73" s="87">
        <f>SUMIF(Inputs!$A:$A,Summaries!$B73&amp;E$42,Inputs!$D:$D)</f>
        <v>21636172.899999999</v>
      </c>
      <c r="F73" s="87">
        <f>SUMIF(Inputs!$A:$A,Summaries!$B73&amp;F$42,Inputs!$D:$D)</f>
        <v>20336536.75</v>
      </c>
      <c r="G73" s="87">
        <f>SUMIF(Inputs!$A:$A,Summaries!$B73&amp;G$42,Inputs!$D:$D)</f>
        <v>20078198.850000001</v>
      </c>
      <c r="H73" s="87">
        <f>SUMIF(Inputs!$A:$A,Summaries!$B73&amp;H$42,Inputs!$D:$D)</f>
        <v>20739146.41</v>
      </c>
      <c r="I73" s="87">
        <f>SUMIF(Inputs!$A:$A,Summaries!$B73&amp;I$42,Inputs!$D:$D)</f>
        <v>23027670.599999998</v>
      </c>
      <c r="J73" s="87">
        <f>SUMIF(Inputs!$A:$A,Summaries!$B73&amp;J$42,Inputs!$D:$D)</f>
        <v>24179844.139999997</v>
      </c>
      <c r="K73" s="87">
        <f>SUMIF(Inputs!$A:$A,Summaries!$B73&amp;K$42,Inputs!$D:$D)</f>
        <v>20570015.609999999</v>
      </c>
      <c r="L73" s="87">
        <f>SUMIF(Inputs!$A:$A,Summaries!$B73&amp;L$42,Inputs!$D:$D)</f>
        <v>20577574.779999997</v>
      </c>
      <c r="M73" s="87">
        <f>SUMIF(Inputs!$A:$A,Summaries!$B73&amp;M$42,Inputs!$D:$D)</f>
        <v>20734381.805</v>
      </c>
      <c r="N73" s="87">
        <f>SUMIF(Inputs!$A:$A,Summaries!$B73&amp;N$42,Inputs!$D:$D)</f>
        <v>22113618.544999998</v>
      </c>
      <c r="O73" s="47"/>
      <c r="P73" s="47"/>
    </row>
    <row r="74" spans="2:16" x14ac:dyDescent="0.2">
      <c r="B74" s="75">
        <f t="shared" si="17"/>
        <v>2017</v>
      </c>
      <c r="C74" s="87">
        <f>SUMIF(Inputs!$A:$A,Summaries!$B74&amp;C$42,Inputs!$D:$D)</f>
        <v>23287844.449999999</v>
      </c>
      <c r="D74" s="87">
        <f>SUMIF(Inputs!$A:$A,Summaries!$B74&amp;D$42,Inputs!$D:$D)</f>
        <v>20360287.07</v>
      </c>
      <c r="E74" s="87">
        <f>SUMIF(Inputs!$A:$A,Summaries!$B74&amp;E$42,Inputs!$D:$D)</f>
        <v>22567613.300000001</v>
      </c>
      <c r="F74" s="87">
        <f>SUMIF(Inputs!$A:$A,Summaries!$B74&amp;F$42,Inputs!$D:$D)</f>
        <v>19386237.350000001</v>
      </c>
      <c r="G74" s="87">
        <f>SUMIF(Inputs!$A:$A,Summaries!$B74&amp;G$42,Inputs!$D:$D)</f>
        <v>19855233.969999999</v>
      </c>
      <c r="H74" s="87">
        <f>SUMIF(Inputs!$A:$A,Summaries!$B74&amp;H$42,Inputs!$D:$D)</f>
        <v>20499489.770000003</v>
      </c>
      <c r="I74" s="87">
        <f>SUMIF(Inputs!$A:$A,Summaries!$B74&amp;I$42,Inputs!$D:$D)</f>
        <v>21882661.009999998</v>
      </c>
      <c r="J74" s="87">
        <f>SUMIF(Inputs!$A:$A,Summaries!$B74&amp;J$42,Inputs!$D:$D)</f>
        <v>21310062.84</v>
      </c>
      <c r="K74" s="87">
        <f>SUMIF(Inputs!$A:$A,Summaries!$B74&amp;K$42,Inputs!$D:$D)</f>
        <v>20719473.609999999</v>
      </c>
      <c r="L74" s="87">
        <f>SUMIF(Inputs!$A:$A,Summaries!$B74&amp;L$42,Inputs!$D:$D)</f>
        <v>20243543.530000001</v>
      </c>
      <c r="M74" s="87">
        <f>SUMIF(Inputs!$A:$A,Summaries!$B74&amp;M$42,Inputs!$D:$D)</f>
        <v>21468651.379999999</v>
      </c>
      <c r="N74" s="87">
        <f>SUMIF(Inputs!$A:$A,Summaries!$B74&amp;N$42,Inputs!$D:$D)</f>
        <v>22467268.620000001</v>
      </c>
      <c r="O74" s="47"/>
      <c r="P74" s="47"/>
    </row>
    <row r="75" spans="2:16" x14ac:dyDescent="0.2">
      <c r="B75" s="75">
        <f t="shared" si="17"/>
        <v>2018</v>
      </c>
      <c r="C75" s="87">
        <f>SUMIF(Inputs!$A:$A,Summaries!$B75&amp;C$42,Inputs!$D:$D)</f>
        <v>24028241.710000001</v>
      </c>
      <c r="D75" s="87">
        <f>SUMIF(Inputs!$A:$A,Summaries!$B75&amp;D$42,Inputs!$D:$D)</f>
        <v>20985005.432913534</v>
      </c>
      <c r="E75" s="87">
        <f>SUMIF(Inputs!$A:$A,Summaries!$B75&amp;E$42,Inputs!$D:$D)</f>
        <v>22598880.590000004</v>
      </c>
      <c r="F75" s="87">
        <f>SUMIF(Inputs!$A:$A,Summaries!$B75&amp;F$42,Inputs!$D:$D)</f>
        <v>21216588.68</v>
      </c>
      <c r="G75" s="87">
        <f>SUMIF(Inputs!$A:$A,Summaries!$B75&amp;G$42,Inputs!$D:$D)</f>
        <v>21095556.57</v>
      </c>
      <c r="H75" s="87">
        <f>SUMIF(Inputs!$A:$A,Summaries!$B75&amp;H$42,Inputs!$D:$D)</f>
        <v>21446304.349999998</v>
      </c>
      <c r="I75" s="87">
        <f>SUMIF(Inputs!$A:$A,Summaries!$B75&amp;I$42,Inputs!$D:$D)</f>
        <v>23894162.989999998</v>
      </c>
      <c r="J75" s="87">
        <f>SUMIF(Inputs!$A:$A,Summaries!$B75&amp;J$42,Inputs!$D:$D)</f>
        <v>23956344.050000001</v>
      </c>
      <c r="K75" s="87">
        <f>SUMIF(Inputs!$A:$A,Summaries!$B75&amp;K$42,Inputs!$D:$D)</f>
        <v>21668452.539136905</v>
      </c>
      <c r="L75" s="87">
        <f>SUMIF(Inputs!$A:$A,Summaries!$B75&amp;L$42,Inputs!$D:$D)</f>
        <v>21228062.899999999</v>
      </c>
      <c r="M75" s="87">
        <f>SUMIF(Inputs!$A:$A,Summaries!$B75&amp;M$42,Inputs!$D:$D)</f>
        <v>22168373.890000001</v>
      </c>
      <c r="N75" s="87">
        <f>SUMIF(Inputs!$A:$A,Summaries!$B75&amp;N$42,Inputs!$D:$D)</f>
        <v>22187282.27</v>
      </c>
      <c r="O75" s="47"/>
      <c r="P75" s="47"/>
    </row>
    <row r="76" spans="2:16" x14ac:dyDescent="0.2">
      <c r="B76" s="75">
        <f t="shared" si="17"/>
        <v>2019</v>
      </c>
      <c r="C76" s="87">
        <f>SUMIF(Inputs!$A:$A,Summaries!$B76&amp;C$42,Inputs!$D:$D)</f>
        <v>24587574.760000002</v>
      </c>
      <c r="D76" s="87">
        <f>SUMIF(Inputs!$A:$A,Summaries!$B76&amp;D$42,Inputs!$D:$D)</f>
        <v>21580871.099999998</v>
      </c>
      <c r="E76" s="87">
        <f>SUMIF(Inputs!$A:$A,Summaries!$B76&amp;E$42,Inputs!$D:$D)</f>
        <v>23246608.300000001</v>
      </c>
      <c r="F76" s="87">
        <f>SUMIF(Inputs!$A:$A,Summaries!$B76&amp;F$42,Inputs!$D:$D)</f>
        <v>20642403.32</v>
      </c>
      <c r="G76" s="87">
        <f>SUMIF(Inputs!$A:$A,Summaries!$B76&amp;G$42,Inputs!$D:$D)</f>
        <v>20313028.579999998</v>
      </c>
      <c r="H76" s="87">
        <f>SUMIF(Inputs!$A:$A,Summaries!$B76&amp;H$42,Inputs!$D:$D)</f>
        <v>20039267.039999999</v>
      </c>
      <c r="I76" s="87">
        <f>SUMIF(Inputs!$A:$A,Summaries!$B76&amp;I$42,Inputs!$D:$D)</f>
        <v>24391822</v>
      </c>
      <c r="J76" s="87">
        <f>SUMIF(Inputs!$A:$A,Summaries!$B76&amp;J$42,Inputs!$D:$D)</f>
        <v>22245573.850000001</v>
      </c>
      <c r="K76" s="87">
        <f>SUMIF(Inputs!$A:$A,Summaries!$B76&amp;K$42,Inputs!$D:$D)</f>
        <v>20055564.270000003</v>
      </c>
      <c r="L76" s="87">
        <f>SUMIF(Inputs!$A:$A,Summaries!$B76&amp;L$42,Inputs!$D:$D)</f>
        <v>20697385.880000003</v>
      </c>
      <c r="M76" s="87">
        <f>SUMIF(Inputs!$A:$A,Summaries!$B76&amp;M$42,Inputs!$D:$D)</f>
        <v>22060075.600000001</v>
      </c>
      <c r="N76" s="87">
        <f>SUMIF(Inputs!$A:$A,Summaries!$B76&amp;N$42,Inputs!$D:$D)</f>
        <v>22125178.859999999</v>
      </c>
      <c r="O76" s="47"/>
      <c r="P76" s="47"/>
    </row>
    <row r="77" spans="2:16" x14ac:dyDescent="0.2">
      <c r="B77" s="75">
        <f t="shared" si="17"/>
        <v>2020</v>
      </c>
      <c r="C77" s="87">
        <f>SUMIF(Inputs!$A:$A,Summaries!$B77&amp;C$42,Inputs!$D:$D)</f>
        <v>23214919.18</v>
      </c>
      <c r="D77" s="87">
        <f>SUMIF(Inputs!$A:$A,Summaries!$B77&amp;D$42,Inputs!$D:$D)</f>
        <v>21739398</v>
      </c>
      <c r="E77" s="87">
        <f>SUMIF(Inputs!$A:$A,Summaries!$B77&amp;E$42,Inputs!$D:$D)</f>
        <v>21884530.75</v>
      </c>
      <c r="F77" s="133">
        <f>SUMIF(Inputs!$A:$A,Summaries!$B77&amp;F$42,Inputs!$D:$D)</f>
        <v>18977422.57</v>
      </c>
      <c r="G77" s="87">
        <f>SUMIF(Inputs!$A:$A,Summaries!$B77&amp;G$42,Inputs!$D:$D)</f>
        <v>19969257.329999998</v>
      </c>
      <c r="H77" s="87">
        <f>SUMIF(Inputs!$A:$A,Summaries!$B77&amp;H$42,Inputs!$D:$D)</f>
        <v>21668186.52</v>
      </c>
      <c r="I77" s="87">
        <f>SUMIF(Inputs!$A:$A,Summaries!$B77&amp;I$42,Inputs!$D:$D)</f>
        <v>25628770.52</v>
      </c>
      <c r="J77" s="87">
        <f>SUMIF(Inputs!$A:$A,Summaries!$B77&amp;J$42,Inputs!$D:$D)</f>
        <v>23467038.809999999</v>
      </c>
      <c r="K77" s="87">
        <f>SUMIF(Inputs!$A:$A,Summaries!$B77&amp;K$42,Inputs!$D:$D)</f>
        <v>20269648.150000002</v>
      </c>
      <c r="L77" s="87">
        <f>SUMIF(Inputs!$A:$A,Summaries!$B77&amp;L$42,Inputs!$D:$D)</f>
        <v>21294106.91</v>
      </c>
      <c r="M77" s="87">
        <f>SUMIF(Inputs!$A:$A,Summaries!$B77&amp;M$42,Inputs!$D:$D)</f>
        <v>21744994.359999999</v>
      </c>
      <c r="N77" s="87">
        <f>SUMIF(Inputs!$A:$A,Summaries!$B77&amp;N$42,Inputs!$D:$D)</f>
        <v>23632657.099999998</v>
      </c>
      <c r="O77" s="47"/>
      <c r="P77" s="47"/>
    </row>
    <row r="78" spans="2:16" x14ac:dyDescent="0.2">
      <c r="B78" s="75">
        <f>+B79-1</f>
        <v>2021</v>
      </c>
      <c r="C78" s="87">
        <f>SUMIF(Inputs!$A:$A,Summaries!$B78&amp;C$42,Inputs!$D:$D)</f>
        <v>23541928.949999999</v>
      </c>
      <c r="D78" s="87">
        <f>SUMIF(Inputs!$A:$A,Summaries!$B78&amp;D$42,Inputs!$D:$D)</f>
        <v>22305481.220000003</v>
      </c>
      <c r="E78" s="87">
        <f>SUMIF(Inputs!$A:$A,Summaries!$B78&amp;E$42,Inputs!$D:$D)</f>
        <v>23069807.16</v>
      </c>
      <c r="F78" s="87">
        <f>SUMIF(Inputs!$A:$A,Summaries!$B78&amp;F$42,Inputs!$D:$D)</f>
        <v>20252923.879999999</v>
      </c>
      <c r="G78" s="87">
        <f>SUMIF(Inputs!$A:$A,Summaries!$B78&amp;G$42,Inputs!$D:$D)</f>
        <v>20759754.799999997</v>
      </c>
      <c r="H78" s="87">
        <f>SUMIF(Inputs!$A:$A,Summaries!$B78&amp;H$42,Inputs!$D:$D)</f>
        <v>22743690.300000001</v>
      </c>
      <c r="I78" s="87">
        <f>SUMIF(Inputs!$A:$A,Summaries!$B78&amp;I$42,Inputs!$D:$D)</f>
        <v>23381044.989999998</v>
      </c>
      <c r="J78" s="87">
        <f>SUMIF(Inputs!$A:$A,Summaries!$B78&amp;J$42,Inputs!$D:$D)</f>
        <v>25116099.290000003</v>
      </c>
      <c r="K78" s="87">
        <f>SUMIF(Inputs!$A:$A,Summaries!$B78&amp;K$42,Inputs!$D:$D)</f>
        <v>20640267.599999998</v>
      </c>
      <c r="L78" s="87">
        <f>SUMIF(Inputs!$A:$A,Summaries!$B78&amp;L$42,Inputs!$D:$D)</f>
        <v>21195541.040000003</v>
      </c>
      <c r="M78" s="87">
        <f>SUMIF(Inputs!$A:$A,Summaries!$B78&amp;M$42,Inputs!$D:$D)</f>
        <v>22402599.130000003</v>
      </c>
      <c r="N78" s="87">
        <f>SUMIF(Inputs!$A:$A,Summaries!$B78&amp;N$42,Inputs!$D:$D)</f>
        <v>23318783.640000001</v>
      </c>
      <c r="O78" s="47"/>
      <c r="P78" s="47"/>
    </row>
    <row r="79" spans="2:16" x14ac:dyDescent="0.2">
      <c r="B79" s="75">
        <v>2022</v>
      </c>
      <c r="C79" s="87">
        <f>SUMIF(Inputs!$A:$A,Summaries!$B79&amp;C$42,Inputs!$D:$D)</f>
        <v>25489220.849999998</v>
      </c>
      <c r="D79" s="87">
        <f>SUMIF(Inputs!$A:$A,Summaries!$B79&amp;D$42,Inputs!$D:$D)</f>
        <v>23005811.43</v>
      </c>
      <c r="E79" s="87">
        <f>SUMIF(Inputs!$A:$A,Summaries!$B79&amp;E$42,Inputs!$D:$D)</f>
        <v>24103482.41</v>
      </c>
      <c r="F79" s="87">
        <f>SUMIF(Inputs!$A:$A,Summaries!$B79&amp;F$42,Inputs!$D:$D)</f>
        <v>21054165.982828289</v>
      </c>
      <c r="G79" s="87">
        <f>SUMIF(Inputs!$A:$A,Summaries!$B79&amp;G$42,Inputs!$D:$D)</f>
        <v>21880073.671260841</v>
      </c>
      <c r="H79" s="87">
        <f>SUMIF(Inputs!$A:$A,Summaries!$B79&amp;H$42,Inputs!$D:$D)</f>
        <v>22588251.5</v>
      </c>
      <c r="I79" s="87">
        <f>SUMIF(Inputs!$A:$A,Summaries!$B79&amp;I$42,Inputs!$D:$D)</f>
        <v>24276339.489999998</v>
      </c>
      <c r="J79" s="87">
        <f>SUMIF(Inputs!$A:$A,Summaries!$B79&amp;J$42,Inputs!$D:$D)</f>
        <v>24568812.140000001</v>
      </c>
      <c r="K79" s="87">
        <f>SUMIF(Inputs!$A:$A,Summaries!$B79&amp;K$42,Inputs!$D:$D)</f>
        <v>21763225.319999997</v>
      </c>
      <c r="L79" s="87">
        <f>SUMIF(Inputs!$A:$A,Summaries!$B79&amp;L$42,Inputs!$D:$D)</f>
        <v>21332534.440000001</v>
      </c>
      <c r="M79" s="87">
        <f>SUMIF(Inputs!$A:$A,Summaries!$B79&amp;M$42,Inputs!$D:$D)</f>
        <v>22267327.43</v>
      </c>
      <c r="N79" s="87">
        <f>SUMIF(Inputs!$A:$A,Summaries!$B79&amp;N$42,Inputs!$D:$D)</f>
        <v>23648226.640000001</v>
      </c>
      <c r="O79" s="47"/>
      <c r="P79" s="47"/>
    </row>
    <row r="80" spans="2:16" x14ac:dyDescent="0.2">
      <c r="B80" s="84" t="s">
        <v>99</v>
      </c>
      <c r="C80" s="88">
        <f>AVERAGE(C70:C79)</f>
        <v>23993898.976999998</v>
      </c>
      <c r="D80" s="88">
        <f t="shared" ref="D80:N80" si="18">AVERAGE(D70:D79)</f>
        <v>21725693.079791356</v>
      </c>
      <c r="E80" s="88">
        <f t="shared" si="18"/>
        <v>22692605.262499999</v>
      </c>
      <c r="F80" s="88">
        <f t="shared" si="18"/>
        <v>20193646.725782827</v>
      </c>
      <c r="G80" s="88">
        <f t="shared" si="18"/>
        <v>20351481.198126085</v>
      </c>
      <c r="H80" s="88">
        <f t="shared" si="18"/>
        <v>21025734.188000001</v>
      </c>
      <c r="I80" s="88">
        <f t="shared" si="18"/>
        <v>23153478.869000003</v>
      </c>
      <c r="J80" s="88">
        <f t="shared" si="18"/>
        <v>22828094.7755</v>
      </c>
      <c r="K80" s="88">
        <f t="shared" si="18"/>
        <v>20655372.926518902</v>
      </c>
      <c r="L80" s="88">
        <f t="shared" si="18"/>
        <v>20786518.374010049</v>
      </c>
      <c r="M80" s="88">
        <f t="shared" si="18"/>
        <v>21642212.726</v>
      </c>
      <c r="N80" s="88">
        <f t="shared" si="18"/>
        <v>22605884.375999998</v>
      </c>
      <c r="O80" s="47"/>
      <c r="P80" s="47"/>
    </row>
    <row r="81" spans="2:16" x14ac:dyDescent="0.2">
      <c r="B81" s="84" t="s">
        <v>156</v>
      </c>
      <c r="C81" s="88" cm="1">
        <f t="array" ref="C81:N81">TRANSPOSE('Purchased Power Model'!N123:N134)</f>
        <v>23937208.003134783</v>
      </c>
      <c r="D81" s="88">
        <v>22088077.202776451</v>
      </c>
      <c r="E81" s="88">
        <v>23831342.855809815</v>
      </c>
      <c r="F81" s="88">
        <v>21049456.394887783</v>
      </c>
      <c r="G81" s="88">
        <v>21510509.573401812</v>
      </c>
      <c r="H81" s="88">
        <v>21559695.367952306</v>
      </c>
      <c r="I81" s="88">
        <v>23585841.795394555</v>
      </c>
      <c r="J81" s="88">
        <v>22777413.612242844</v>
      </c>
      <c r="K81" s="88">
        <v>21184647.065208763</v>
      </c>
      <c r="L81" s="88">
        <v>21496839.298660271</v>
      </c>
      <c r="M81" s="88">
        <v>22323707.083195947</v>
      </c>
      <c r="N81" s="88">
        <v>23298085.081067398</v>
      </c>
      <c r="O81" s="47"/>
      <c r="P81" s="47"/>
    </row>
    <row r="82" spans="2:16" x14ac:dyDescent="0.2">
      <c r="B82" s="84" t="s">
        <v>157</v>
      </c>
      <c r="C82" s="88" cm="1">
        <f t="array" ref="C82:N82">TRANSPOSE('Purchased Power Model'!N135:N146)</f>
        <v>24912167.373339966</v>
      </c>
      <c r="D82" s="88">
        <v>23288704.129052155</v>
      </c>
      <c r="E82" s="88">
        <v>23475451.936343335</v>
      </c>
      <c r="F82" s="88">
        <v>21864513.324002564</v>
      </c>
      <c r="G82" s="88">
        <v>21726335.102057181</v>
      </c>
      <c r="H82" s="88">
        <v>21532085.203583106</v>
      </c>
      <c r="I82" s="88">
        <v>24282829.595891349</v>
      </c>
      <c r="J82" s="88">
        <v>23847879.860645019</v>
      </c>
      <c r="K82" s="88">
        <v>21384975.10237509</v>
      </c>
      <c r="L82" s="88">
        <v>21675871.874221914</v>
      </c>
      <c r="M82" s="88">
        <v>22144674.507634297</v>
      </c>
      <c r="N82" s="88">
        <v>23477117.656629041</v>
      </c>
      <c r="O82" s="47"/>
      <c r="P82" s="47"/>
    </row>
    <row r="83" spans="2:16" x14ac:dyDescent="0.2">
      <c r="B83" s="74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47"/>
      <c r="P83" s="47"/>
    </row>
    <row r="84" spans="2:16" ht="24" customHeight="1" x14ac:dyDescent="0.2">
      <c r="B84" s="76" t="s">
        <v>136</v>
      </c>
      <c r="C84" s="76" t="s">
        <v>83</v>
      </c>
      <c r="D84" s="76" t="s">
        <v>84</v>
      </c>
      <c r="E84" s="76" t="s">
        <v>85</v>
      </c>
      <c r="F84" s="76" t="s">
        <v>86</v>
      </c>
      <c r="G84" s="76" t="s">
        <v>60</v>
      </c>
      <c r="H84" s="76" t="s">
        <v>87</v>
      </c>
      <c r="I84" s="76" t="s">
        <v>88</v>
      </c>
      <c r="J84" s="76" t="s">
        <v>89</v>
      </c>
      <c r="K84" s="76" t="s">
        <v>90</v>
      </c>
      <c r="L84" s="76" t="s">
        <v>91</v>
      </c>
      <c r="M84" s="76" t="s">
        <v>92</v>
      </c>
      <c r="N84" s="76" t="s">
        <v>93</v>
      </c>
      <c r="O84" s="47"/>
      <c r="P84" s="47"/>
    </row>
    <row r="85" spans="2:16" x14ac:dyDescent="0.2">
      <c r="B85" s="75">
        <f t="shared" ref="B85:B92" si="19">+B86-1</f>
        <v>2013</v>
      </c>
      <c r="C85" s="71">
        <f>SUMIF(Inputs!$A:$A,Summaries!$B85&amp;C$42,Inputs!$E:$E)</f>
        <v>624.50000000000011</v>
      </c>
      <c r="D85" s="71">
        <f>SUMIF(Inputs!$A:$A,Summaries!$B85&amp;D$42,Inputs!$E:$E)</f>
        <v>631.49999999999989</v>
      </c>
      <c r="E85" s="71">
        <f>SUMIF(Inputs!$A:$A,Summaries!$B85&amp;E$42,Inputs!$E:$E)</f>
        <v>554.79999999999995</v>
      </c>
      <c r="F85" s="71">
        <f>SUMIF(Inputs!$A:$A,Summaries!$B85&amp;F$42,Inputs!$E:$E)</f>
        <v>358.6</v>
      </c>
      <c r="G85" s="71">
        <f>SUMIF(Inputs!$A:$A,Summaries!$B85&amp;G$42,Inputs!$E:$E)</f>
        <v>109.10000000000001</v>
      </c>
      <c r="H85" s="71">
        <f>SUMIF(Inputs!$A:$A,Summaries!$B85&amp;H$42,Inputs!$E:$E)</f>
        <v>32.999999999999993</v>
      </c>
      <c r="I85" s="71">
        <f>SUMIF(Inputs!$A:$A,Summaries!$B85&amp;I$42,Inputs!$E:$E)</f>
        <v>1.2999999999999998</v>
      </c>
      <c r="J85" s="71">
        <f>SUMIF(Inputs!$A:$A,Summaries!$B85&amp;J$42,Inputs!$E:$E)</f>
        <v>4.4000000000000004</v>
      </c>
      <c r="K85" s="71">
        <f>SUMIF(Inputs!$A:$A,Summaries!$B85&amp;K$42,Inputs!$E:$E)</f>
        <v>86.35</v>
      </c>
      <c r="L85" s="71">
        <f>SUMIF(Inputs!$A:$A,Summaries!$B85&amp;L$42,Inputs!$E:$E)</f>
        <v>221.8</v>
      </c>
      <c r="M85" s="71">
        <f>SUMIF(Inputs!$A:$A,Summaries!$B85&amp;M$42,Inputs!$E:$E)</f>
        <v>478.20000000000005</v>
      </c>
      <c r="N85" s="71">
        <f>SUMIF(Inputs!$A:$A,Summaries!$B85&amp;N$42,Inputs!$E:$E)</f>
        <v>687.9</v>
      </c>
      <c r="O85" s="115">
        <f>SUM(C85:N85)</f>
        <v>3791.4500000000003</v>
      </c>
      <c r="P85" s="115">
        <f>+O85+O100</f>
        <v>4128.7000000000007</v>
      </c>
    </row>
    <row r="86" spans="2:16" x14ac:dyDescent="0.2">
      <c r="B86" s="75">
        <f t="shared" si="19"/>
        <v>2014</v>
      </c>
      <c r="C86" s="71">
        <f>SUMIF(Inputs!$A:$A,Summaries!$B86&amp;C$42,Inputs!$E:$E)</f>
        <v>825.90000000000009</v>
      </c>
      <c r="D86" s="71">
        <f>SUMIF(Inputs!$A:$A,Summaries!$B86&amp;D$42,Inputs!$E:$E)</f>
        <v>737.09999999999991</v>
      </c>
      <c r="E86" s="71">
        <f>SUMIF(Inputs!$A:$A,Summaries!$B86&amp;E$42,Inputs!$E:$E)</f>
        <v>690.6</v>
      </c>
      <c r="F86" s="71">
        <f>SUMIF(Inputs!$A:$A,Summaries!$B86&amp;F$42,Inputs!$E:$E)</f>
        <v>356.90000000000003</v>
      </c>
      <c r="G86" s="71">
        <f>SUMIF(Inputs!$A:$A,Summaries!$B86&amp;G$42,Inputs!$E:$E)</f>
        <v>132.10000000000005</v>
      </c>
      <c r="H86" s="71">
        <f>SUMIF(Inputs!$A:$A,Summaries!$B86&amp;H$42,Inputs!$E:$E)</f>
        <v>14.1</v>
      </c>
      <c r="I86" s="71">
        <f>SUMIF(Inputs!$A:$A,Summaries!$B86&amp;I$42,Inputs!$E:$E)</f>
        <v>4</v>
      </c>
      <c r="J86" s="71">
        <f>SUMIF(Inputs!$A:$A,Summaries!$B86&amp;J$42,Inputs!$E:$E)</f>
        <v>8.7999999999999989</v>
      </c>
      <c r="K86" s="71">
        <f>SUMIF(Inputs!$A:$A,Summaries!$B86&amp;K$42,Inputs!$E:$E)</f>
        <v>69.700000000000017</v>
      </c>
      <c r="L86" s="71">
        <f>SUMIF(Inputs!$A:$A,Summaries!$B86&amp;L$42,Inputs!$E:$E)</f>
        <v>224.30000000000004</v>
      </c>
      <c r="M86" s="71">
        <f>SUMIF(Inputs!$A:$A,Summaries!$B86&amp;M$42,Inputs!$E:$E)</f>
        <v>482.1</v>
      </c>
      <c r="N86" s="71">
        <f>SUMIF(Inputs!$A:$A,Summaries!$B86&amp;N$42,Inputs!$E:$E)</f>
        <v>557.29999999999995</v>
      </c>
      <c r="O86" s="115">
        <f t="shared" ref="O86:O95" si="20">SUM(C86:N86)</f>
        <v>4102.8999999999996</v>
      </c>
      <c r="P86" s="115">
        <f t="shared" ref="P86:P95" si="21">+O86+O101</f>
        <v>4367.0999999999995</v>
      </c>
    </row>
    <row r="87" spans="2:16" x14ac:dyDescent="0.2">
      <c r="B87" s="75">
        <f t="shared" si="19"/>
        <v>2015</v>
      </c>
      <c r="C87" s="71">
        <f>SUMIF(Inputs!$A:$A,Summaries!$B87&amp;C$42,Inputs!$E:$E)</f>
        <v>792.39999999999975</v>
      </c>
      <c r="D87" s="71">
        <f>SUMIF(Inputs!$A:$A,Summaries!$B87&amp;D$42,Inputs!$E:$E)</f>
        <v>856.8</v>
      </c>
      <c r="E87" s="71">
        <f>SUMIF(Inputs!$A:$A,Summaries!$B87&amp;E$42,Inputs!$E:$E)</f>
        <v>615.49999999999989</v>
      </c>
      <c r="F87" s="71">
        <f>SUMIF(Inputs!$A:$A,Summaries!$B87&amp;F$42,Inputs!$E:$E)</f>
        <v>313.7</v>
      </c>
      <c r="G87" s="71">
        <f>SUMIF(Inputs!$A:$A,Summaries!$B87&amp;G$42,Inputs!$E:$E)</f>
        <v>89.3</v>
      </c>
      <c r="H87" s="71">
        <f>SUMIF(Inputs!$A:$A,Summaries!$B87&amp;H$42,Inputs!$E:$E)</f>
        <v>33.800000000000004</v>
      </c>
      <c r="I87" s="71">
        <f>SUMIF(Inputs!$A:$A,Summaries!$B87&amp;I$42,Inputs!$E:$E)</f>
        <v>4</v>
      </c>
      <c r="J87" s="71">
        <f>SUMIF(Inputs!$A:$A,Summaries!$B87&amp;J$42,Inputs!$E:$E)</f>
        <v>4.4000000000000004</v>
      </c>
      <c r="K87" s="71">
        <f>SUMIF(Inputs!$A:$A,Summaries!$B87&amp;K$42,Inputs!$E:$E)</f>
        <v>31.099999999999994</v>
      </c>
      <c r="L87" s="71">
        <f>SUMIF(Inputs!$A:$A,Summaries!$B87&amp;L$42,Inputs!$E:$E)</f>
        <v>249.8</v>
      </c>
      <c r="M87" s="71">
        <f>SUMIF(Inputs!$A:$A,Summaries!$B87&amp;M$42,Inputs!$E:$E)</f>
        <v>345</v>
      </c>
      <c r="N87" s="71">
        <f>SUMIF(Inputs!$A:$A,Summaries!$B87&amp;N$42,Inputs!$E:$E)</f>
        <v>429.70000000000005</v>
      </c>
      <c r="O87" s="115">
        <f t="shared" si="20"/>
        <v>3765.5</v>
      </c>
      <c r="P87" s="115">
        <f t="shared" si="21"/>
        <v>4116.7</v>
      </c>
    </row>
    <row r="88" spans="2:16" x14ac:dyDescent="0.2">
      <c r="B88" s="75">
        <f t="shared" si="19"/>
        <v>2016</v>
      </c>
      <c r="C88" s="71">
        <f>SUMIF(Inputs!$A:$A,Summaries!$B88&amp;C$42,Inputs!$E:$E)</f>
        <v>670.4</v>
      </c>
      <c r="D88" s="71">
        <f>SUMIF(Inputs!$A:$A,Summaries!$B88&amp;D$42,Inputs!$E:$E)</f>
        <v>588.4</v>
      </c>
      <c r="E88" s="71">
        <f>SUMIF(Inputs!$A:$A,Summaries!$B88&amp;E$42,Inputs!$E:$E)</f>
        <v>476.0999999999998</v>
      </c>
      <c r="F88" s="71">
        <f>SUMIF(Inputs!$A:$A,Summaries!$B88&amp;F$42,Inputs!$E:$E)</f>
        <v>394.8</v>
      </c>
      <c r="G88" s="71">
        <f>SUMIF(Inputs!$A:$A,Summaries!$B88&amp;G$42,Inputs!$E:$E)</f>
        <v>142.50000000000003</v>
      </c>
      <c r="H88" s="71">
        <f>SUMIF(Inputs!$A:$A,Summaries!$B88&amp;H$42,Inputs!$E:$E)</f>
        <v>24.200000000000003</v>
      </c>
      <c r="I88" s="71">
        <f>SUMIF(Inputs!$A:$A,Summaries!$B88&amp;I$42,Inputs!$E:$E)</f>
        <v>0</v>
      </c>
      <c r="J88" s="71">
        <f>SUMIF(Inputs!$A:$A,Summaries!$B88&amp;J$42,Inputs!$E:$E)</f>
        <v>0</v>
      </c>
      <c r="K88" s="71">
        <f>SUMIF(Inputs!$A:$A,Summaries!$B88&amp;K$42,Inputs!$E:$E)</f>
        <v>25.900000000000006</v>
      </c>
      <c r="L88" s="71">
        <f>SUMIF(Inputs!$A:$A,Summaries!$B88&amp;L$42,Inputs!$E:$E)</f>
        <v>194.20000000000002</v>
      </c>
      <c r="M88" s="71">
        <f>SUMIF(Inputs!$A:$A,Summaries!$B88&amp;M$42,Inputs!$E:$E)</f>
        <v>337.80000000000007</v>
      </c>
      <c r="N88" s="71">
        <f>SUMIF(Inputs!$A:$A,Summaries!$B88&amp;N$42,Inputs!$E:$E)</f>
        <v>607.99999999999989</v>
      </c>
      <c r="O88" s="115">
        <f t="shared" si="20"/>
        <v>3462.2999999999997</v>
      </c>
      <c r="P88" s="115">
        <f t="shared" si="21"/>
        <v>4028.7</v>
      </c>
    </row>
    <row r="89" spans="2:16" x14ac:dyDescent="0.2">
      <c r="B89" s="75">
        <f t="shared" si="19"/>
        <v>2017</v>
      </c>
      <c r="C89" s="71">
        <f>SUMIF(Inputs!$A:$A,Summaries!$B89&amp;C$42,Inputs!$E:$E)</f>
        <v>608.9</v>
      </c>
      <c r="D89" s="71">
        <f>SUMIF(Inputs!$A:$A,Summaries!$B89&amp;D$42,Inputs!$E:$E)</f>
        <v>510.4</v>
      </c>
      <c r="E89" s="71">
        <f>SUMIF(Inputs!$A:$A,Summaries!$B89&amp;E$42,Inputs!$E:$E)</f>
        <v>574</v>
      </c>
      <c r="F89" s="71">
        <f>SUMIF(Inputs!$A:$A,Summaries!$B89&amp;F$42,Inputs!$E:$E)</f>
        <v>257.49999999999994</v>
      </c>
      <c r="G89" s="71">
        <f>SUMIF(Inputs!$A:$A,Summaries!$B89&amp;G$42,Inputs!$E:$E)</f>
        <v>177</v>
      </c>
      <c r="H89" s="71">
        <f>SUMIF(Inputs!$A:$A,Summaries!$B89&amp;H$42,Inputs!$E:$E)</f>
        <v>26.699999999999996</v>
      </c>
      <c r="I89" s="71">
        <f>SUMIF(Inputs!$A:$A,Summaries!$B89&amp;I$42,Inputs!$E:$E)</f>
        <v>0</v>
      </c>
      <c r="J89" s="71">
        <f>SUMIF(Inputs!$A:$A,Summaries!$B89&amp;J$42,Inputs!$E:$E)</f>
        <v>11.6</v>
      </c>
      <c r="K89" s="71">
        <f>SUMIF(Inputs!$A:$A,Summaries!$B89&amp;K$42,Inputs!$E:$E)</f>
        <v>49.1</v>
      </c>
      <c r="L89" s="71">
        <f>SUMIF(Inputs!$A:$A,Summaries!$B89&amp;L$42,Inputs!$E:$E)</f>
        <v>153.99999999999997</v>
      </c>
      <c r="M89" s="71">
        <f>SUMIF(Inputs!$A:$A,Summaries!$B89&amp;M$42,Inputs!$E:$E)</f>
        <v>429.35</v>
      </c>
      <c r="N89" s="71">
        <f>SUMIF(Inputs!$A:$A,Summaries!$B89&amp;N$42,Inputs!$E:$E)</f>
        <v>718.49999999999989</v>
      </c>
      <c r="O89" s="115">
        <f t="shared" si="20"/>
        <v>3517.0499999999997</v>
      </c>
      <c r="P89" s="115">
        <f t="shared" si="21"/>
        <v>3865.5499999999997</v>
      </c>
    </row>
    <row r="90" spans="2:16" x14ac:dyDescent="0.2">
      <c r="B90" s="75">
        <f t="shared" si="19"/>
        <v>2018</v>
      </c>
      <c r="C90" s="71">
        <f>SUMIF(Inputs!$A:$A,Summaries!$B90&amp;C$42,Inputs!$E:$E)</f>
        <v>732.29999999999984</v>
      </c>
      <c r="D90" s="71">
        <f>SUMIF(Inputs!$A:$A,Summaries!$B90&amp;D$42,Inputs!$E:$E)</f>
        <v>555.00000000000023</v>
      </c>
      <c r="E90" s="71">
        <f>SUMIF(Inputs!$A:$A,Summaries!$B90&amp;E$42,Inputs!$E:$E)</f>
        <v>553.99999999999989</v>
      </c>
      <c r="F90" s="71">
        <f>SUMIF(Inputs!$A:$A,Summaries!$B90&amp;F$42,Inputs!$E:$E)</f>
        <v>437.20000000000005</v>
      </c>
      <c r="G90" s="71">
        <f>SUMIF(Inputs!$A:$A,Summaries!$B90&amp;G$42,Inputs!$E:$E)</f>
        <v>75.3</v>
      </c>
      <c r="H90" s="71">
        <f>SUMIF(Inputs!$A:$A,Summaries!$B90&amp;H$42,Inputs!$E:$E)</f>
        <v>14.799999999999999</v>
      </c>
      <c r="I90" s="71">
        <f>SUMIF(Inputs!$A:$A,Summaries!$B90&amp;I$42,Inputs!$E:$E)</f>
        <v>0</v>
      </c>
      <c r="J90" s="71">
        <f>SUMIF(Inputs!$A:$A,Summaries!$B90&amp;J$42,Inputs!$E:$E)</f>
        <v>1.2</v>
      </c>
      <c r="K90" s="71">
        <f>SUMIF(Inputs!$A:$A,Summaries!$B90&amp;K$42,Inputs!$E:$E)</f>
        <v>45.04999999999999</v>
      </c>
      <c r="L90" s="71">
        <f>SUMIF(Inputs!$A:$A,Summaries!$B90&amp;L$42,Inputs!$E:$E)</f>
        <v>289.40000000000003</v>
      </c>
      <c r="M90" s="71">
        <f>SUMIF(Inputs!$A:$A,Summaries!$B90&amp;M$42,Inputs!$E:$E)</f>
        <v>494.1</v>
      </c>
      <c r="N90" s="71">
        <f>SUMIF(Inputs!$A:$A,Summaries!$B90&amp;N$42,Inputs!$E:$E)</f>
        <v>563.60000000000014</v>
      </c>
      <c r="O90" s="115">
        <f t="shared" si="20"/>
        <v>3761.9500000000007</v>
      </c>
      <c r="P90" s="115">
        <f t="shared" si="21"/>
        <v>4280.6500000000005</v>
      </c>
    </row>
    <row r="91" spans="2:16" x14ac:dyDescent="0.2">
      <c r="B91" s="75">
        <f t="shared" si="19"/>
        <v>2019</v>
      </c>
      <c r="C91" s="71">
        <f>SUMIF(Inputs!$A:$A,Summaries!$B91&amp;C$42,Inputs!$E:$E)</f>
        <v>764.5</v>
      </c>
      <c r="D91" s="71">
        <f>SUMIF(Inputs!$A:$A,Summaries!$B91&amp;D$42,Inputs!$E:$E)</f>
        <v>621.70000000000016</v>
      </c>
      <c r="E91" s="71">
        <f>SUMIF(Inputs!$A:$A,Summaries!$B91&amp;E$42,Inputs!$E:$E)</f>
        <v>593.90000000000009</v>
      </c>
      <c r="F91" s="71">
        <f>SUMIF(Inputs!$A:$A,Summaries!$B91&amp;F$42,Inputs!$E:$E)</f>
        <v>346.8</v>
      </c>
      <c r="G91" s="71">
        <f>SUMIF(Inputs!$A:$A,Summaries!$B91&amp;G$42,Inputs!$E:$E)</f>
        <v>189.94999999999996</v>
      </c>
      <c r="H91" s="71">
        <f>SUMIF(Inputs!$A:$A,Summaries!$B91&amp;H$42,Inputs!$E:$E)</f>
        <v>35.5</v>
      </c>
      <c r="I91" s="71">
        <f>SUMIF(Inputs!$A:$A,Summaries!$B91&amp;I$42,Inputs!$E:$E)</f>
        <v>0</v>
      </c>
      <c r="J91" s="71">
        <f>SUMIF(Inputs!$A:$A,Summaries!$B91&amp;J$42,Inputs!$E:$E)</f>
        <v>0.89999999999999991</v>
      </c>
      <c r="K91" s="71">
        <f>SUMIF(Inputs!$A:$A,Summaries!$B91&amp;K$42,Inputs!$E:$E)</f>
        <v>38.400000000000006</v>
      </c>
      <c r="L91" s="71">
        <f>SUMIF(Inputs!$A:$A,Summaries!$B91&amp;L$42,Inputs!$E:$E)</f>
        <v>236.5</v>
      </c>
      <c r="M91" s="71">
        <f>SUMIF(Inputs!$A:$A,Summaries!$B91&amp;M$42,Inputs!$E:$E)</f>
        <v>513.30000000000007</v>
      </c>
      <c r="N91" s="71">
        <f>SUMIF(Inputs!$A:$A,Summaries!$B91&amp;N$42,Inputs!$E:$E)</f>
        <v>582.4</v>
      </c>
      <c r="O91" s="115">
        <f t="shared" si="20"/>
        <v>3923.8500000000008</v>
      </c>
      <c r="P91" s="115">
        <f t="shared" si="21"/>
        <v>4265.8500000000013</v>
      </c>
    </row>
    <row r="92" spans="2:16" x14ac:dyDescent="0.2">
      <c r="B92" s="75">
        <f t="shared" si="19"/>
        <v>2020</v>
      </c>
      <c r="C92" s="71">
        <f>SUMIF(Inputs!$A:$A,Summaries!$B92&amp;C$42,Inputs!$E:$E)</f>
        <v>605</v>
      </c>
      <c r="D92" s="71">
        <f>SUMIF(Inputs!$A:$A,Summaries!$B92&amp;D$42,Inputs!$E:$E)</f>
        <v>611.79999999999995</v>
      </c>
      <c r="E92" s="71">
        <f>SUMIF(Inputs!$A:$A,Summaries!$B92&amp;E$42,Inputs!$E:$E)</f>
        <v>458.69999999999993</v>
      </c>
      <c r="F92" s="71">
        <f>SUMIF(Inputs!$A:$A,Summaries!$B92&amp;F$42,Inputs!$E:$E)</f>
        <v>362.2999999999999</v>
      </c>
      <c r="G92" s="71">
        <f>SUMIF(Inputs!$A:$A,Summaries!$B92&amp;G$42,Inputs!$E:$E)</f>
        <v>208.09999999999997</v>
      </c>
      <c r="H92" s="71">
        <f>SUMIF(Inputs!$A:$A,Summaries!$B92&amp;H$42,Inputs!$E:$E)</f>
        <v>23.799999999999997</v>
      </c>
      <c r="I92" s="71">
        <f>SUMIF(Inputs!$A:$A,Summaries!$B92&amp;I$42,Inputs!$E:$E)</f>
        <v>0</v>
      </c>
      <c r="J92" s="71">
        <f>SUMIF(Inputs!$A:$A,Summaries!$B92&amp;J$42,Inputs!$E:$E)</f>
        <v>0.8</v>
      </c>
      <c r="K92" s="71">
        <f>SUMIF(Inputs!$A:$A,Summaries!$B92&amp;K$42,Inputs!$E:$E)</f>
        <v>69.100000000000009</v>
      </c>
      <c r="L92" s="71">
        <f>SUMIF(Inputs!$A:$A,Summaries!$B92&amp;L$42,Inputs!$E:$E)</f>
        <v>270.3</v>
      </c>
      <c r="M92" s="71">
        <f>SUMIF(Inputs!$A:$A,Summaries!$B92&amp;M$42,Inputs!$E:$E)</f>
        <v>334.79999999999995</v>
      </c>
      <c r="N92" s="71">
        <f>SUMIF(Inputs!$A:$A,Summaries!$B92&amp;N$42,Inputs!$E:$E)</f>
        <v>567.29999999999995</v>
      </c>
      <c r="O92" s="115">
        <f t="shared" si="20"/>
        <v>3512.0000000000009</v>
      </c>
      <c r="P92" s="115">
        <f t="shared" si="21"/>
        <v>4009.6000000000008</v>
      </c>
    </row>
    <row r="93" spans="2:16" x14ac:dyDescent="0.2">
      <c r="B93" s="75">
        <f>+B94-1</f>
        <v>2021</v>
      </c>
      <c r="C93" s="71">
        <f>SUMIF(Inputs!$A:$A,Summaries!$B93&amp;C$42,Inputs!$E:$E)</f>
        <v>642.64999999999986</v>
      </c>
      <c r="D93" s="71">
        <f>SUMIF(Inputs!$A:$A,Summaries!$B93&amp;D$42,Inputs!$E:$E)</f>
        <v>653</v>
      </c>
      <c r="E93" s="71">
        <f>SUMIF(Inputs!$A:$A,Summaries!$B93&amp;E$42,Inputs!$E:$E)</f>
        <v>460.70000000000005</v>
      </c>
      <c r="F93" s="71">
        <f>SUMIF(Inputs!$A:$A,Summaries!$B93&amp;F$42,Inputs!$E:$E)</f>
        <v>302.39999999999998</v>
      </c>
      <c r="G93" s="71">
        <f>SUMIF(Inputs!$A:$A,Summaries!$B93&amp;G$42,Inputs!$E:$E)</f>
        <v>164.2</v>
      </c>
      <c r="H93" s="71">
        <f>SUMIF(Inputs!$A:$A,Summaries!$B93&amp;H$42,Inputs!$E:$E)</f>
        <v>7.0000000000000009</v>
      </c>
      <c r="I93" s="71">
        <f>SUMIF(Inputs!$A:$A,Summaries!$B93&amp;I$42,Inputs!$E:$E)</f>
        <v>4.4000000000000004</v>
      </c>
      <c r="J93" s="71">
        <f>SUMIF(Inputs!$A:$A,Summaries!$B93&amp;J$42,Inputs!$E:$E)</f>
        <v>0.85</v>
      </c>
      <c r="K93" s="71">
        <f>SUMIF(Inputs!$A:$A,Summaries!$B93&amp;K$42,Inputs!$E:$E)</f>
        <v>35.6</v>
      </c>
      <c r="L93" s="71">
        <f>SUMIF(Inputs!$A:$A,Summaries!$B93&amp;L$42,Inputs!$E:$E)</f>
        <v>145.19999999999999</v>
      </c>
      <c r="M93" s="71">
        <f>SUMIF(Inputs!$A:$A,Summaries!$B93&amp;M$42,Inputs!$E:$E)</f>
        <v>413.7</v>
      </c>
      <c r="N93" s="71">
        <f>SUMIF(Inputs!$A:$A,Summaries!$B93&amp;N$42,Inputs!$E:$E)</f>
        <v>500.6</v>
      </c>
      <c r="O93" s="115">
        <f t="shared" si="20"/>
        <v>3330.2999999999993</v>
      </c>
      <c r="P93" s="115">
        <f t="shared" si="21"/>
        <v>3795.4499999999994</v>
      </c>
    </row>
    <row r="94" spans="2:16" x14ac:dyDescent="0.2">
      <c r="B94" s="75">
        <v>2022</v>
      </c>
      <c r="C94" s="71">
        <f>SUMIF(Inputs!$A:$A,Summaries!$B94&amp;C$42,Inputs!$E:$E)</f>
        <v>809.35</v>
      </c>
      <c r="D94" s="71">
        <f>SUMIF(Inputs!$A:$A,Summaries!$B94&amp;D$42,Inputs!$E:$E)</f>
        <v>626.54999999999995</v>
      </c>
      <c r="E94" s="71">
        <f>SUMIF(Inputs!$A:$A,Summaries!$B94&amp;E$42,Inputs!$E:$E)</f>
        <v>523.90000000000009</v>
      </c>
      <c r="F94" s="71">
        <f>SUMIF(Inputs!$A:$A,Summaries!$B94&amp;F$42,Inputs!$E:$E)</f>
        <v>339.94999999999993</v>
      </c>
      <c r="G94" s="71">
        <f>SUMIF(Inputs!$A:$A,Summaries!$B94&amp;G$42,Inputs!$E:$E)</f>
        <v>108.24999999999997</v>
      </c>
      <c r="H94" s="71">
        <f>SUMIF(Inputs!$A:$A,Summaries!$B94&amp;H$42,Inputs!$E:$E)</f>
        <v>17.699999999999996</v>
      </c>
      <c r="I94" s="71">
        <f>SUMIF(Inputs!$A:$A,Summaries!$B94&amp;I$42,Inputs!$E:$E)</f>
        <v>0</v>
      </c>
      <c r="J94" s="71">
        <f>SUMIF(Inputs!$A:$A,Summaries!$B94&amp;J$42,Inputs!$E:$E)</f>
        <v>0</v>
      </c>
      <c r="K94" s="71">
        <f>SUMIF(Inputs!$A:$A,Summaries!$B94&amp;K$42,Inputs!$E:$E)</f>
        <v>52.3</v>
      </c>
      <c r="L94" s="71">
        <f>SUMIF(Inputs!$A:$A,Summaries!$B94&amp;L$42,Inputs!$E:$E)</f>
        <v>236.70000000000002</v>
      </c>
      <c r="M94" s="71">
        <f>SUMIF(Inputs!$A:$A,Summaries!$B94&amp;M$42,Inputs!$E:$E)</f>
        <v>380.09999999999997</v>
      </c>
      <c r="N94" s="71">
        <f>SUMIF(Inputs!$A:$A,Summaries!$B94&amp;N$42,Inputs!$E:$E)</f>
        <v>575.29999999999984</v>
      </c>
      <c r="O94" s="115">
        <f t="shared" si="20"/>
        <v>3670.0999999999995</v>
      </c>
      <c r="P94" s="115">
        <f t="shared" si="21"/>
        <v>4106.4999999999991</v>
      </c>
    </row>
    <row r="95" spans="2:16" x14ac:dyDescent="0.2">
      <c r="B95" s="84" t="s">
        <v>99</v>
      </c>
      <c r="C95" s="85">
        <f>AVERAGE(C85:C94)</f>
        <v>707.58999999999992</v>
      </c>
      <c r="D95" s="85">
        <f t="shared" ref="D95:N95" si="22">AVERAGE(D85:D94)</f>
        <v>639.22500000000002</v>
      </c>
      <c r="E95" s="85">
        <f t="shared" si="22"/>
        <v>550.22</v>
      </c>
      <c r="F95" s="85">
        <f t="shared" si="22"/>
        <v>347.01499999999999</v>
      </c>
      <c r="G95" s="85">
        <f t="shared" si="22"/>
        <v>139.57999999999998</v>
      </c>
      <c r="H95" s="85">
        <f t="shared" si="22"/>
        <v>23.060000000000002</v>
      </c>
      <c r="I95" s="85">
        <f t="shared" si="22"/>
        <v>1.37</v>
      </c>
      <c r="J95" s="85">
        <f t="shared" si="22"/>
        <v>3.2950000000000004</v>
      </c>
      <c r="K95" s="85">
        <f t="shared" si="22"/>
        <v>50.260000000000005</v>
      </c>
      <c r="L95" s="85">
        <f t="shared" si="22"/>
        <v>222.22000000000003</v>
      </c>
      <c r="M95" s="85">
        <f t="shared" si="22"/>
        <v>420.84500000000008</v>
      </c>
      <c r="N95" s="85">
        <f t="shared" si="22"/>
        <v>579.06000000000006</v>
      </c>
      <c r="O95" s="115">
        <f t="shared" si="20"/>
        <v>3683.7400000000002</v>
      </c>
      <c r="P95" s="115">
        <f t="shared" si="21"/>
        <v>4096.4800000000005</v>
      </c>
    </row>
    <row r="96" spans="2:16" x14ac:dyDescent="0.2">
      <c r="B96" s="84" t="s">
        <v>156</v>
      </c>
      <c r="C96" s="125" cm="1">
        <f t="array" ref="C96:N96">TRANSPOSE('Purchased Power Model'!E123:E134)</f>
        <v>585.09999999999991</v>
      </c>
      <c r="D96" s="125">
        <v>543.29999999999995</v>
      </c>
      <c r="E96" s="125">
        <v>530.90000000000009</v>
      </c>
      <c r="F96" s="125">
        <v>275.70000000000005</v>
      </c>
      <c r="G96" s="125">
        <v>153.89999999999998</v>
      </c>
      <c r="H96" s="125">
        <v>16.099999999999998</v>
      </c>
      <c r="I96" s="125">
        <v>0</v>
      </c>
      <c r="J96" s="125">
        <v>7</v>
      </c>
      <c r="K96" s="125">
        <v>26</v>
      </c>
      <c r="L96" s="125">
        <v>222.22000000000003</v>
      </c>
      <c r="M96" s="125">
        <v>420.84500000000008</v>
      </c>
      <c r="N96" s="125">
        <v>579.06000000000006</v>
      </c>
      <c r="O96" s="47"/>
      <c r="P96" s="47"/>
    </row>
    <row r="97" spans="2:16" x14ac:dyDescent="0.2">
      <c r="B97" s="84" t="s">
        <v>157</v>
      </c>
      <c r="C97" s="125" cm="1">
        <f t="array" ref="C97:N97">TRANSPOSE('Purchased Power Model'!E135:E146)</f>
        <v>703.65</v>
      </c>
      <c r="D97" s="125">
        <v>630.40499999999997</v>
      </c>
      <c r="E97" s="125">
        <v>547.82999999999993</v>
      </c>
      <c r="F97" s="125">
        <v>338.72500000000002</v>
      </c>
      <c r="G97" s="125">
        <v>144.06</v>
      </c>
      <c r="H97" s="125">
        <v>21.37</v>
      </c>
      <c r="I97" s="125">
        <v>1.24</v>
      </c>
      <c r="J97" s="125">
        <v>3.5549999999999997</v>
      </c>
      <c r="K97" s="125">
        <v>44.225000000000009</v>
      </c>
      <c r="L97" s="125">
        <v>222.22000000000003</v>
      </c>
      <c r="M97" s="125">
        <v>420.84500000000008</v>
      </c>
      <c r="N97" s="125">
        <v>579.06000000000006</v>
      </c>
      <c r="O97" s="47"/>
      <c r="P97" s="47"/>
    </row>
    <row r="98" spans="2:16" x14ac:dyDescent="0.2">
      <c r="B98" s="74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47"/>
      <c r="P98" s="47"/>
    </row>
    <row r="99" spans="2:16" ht="24" customHeight="1" x14ac:dyDescent="0.2">
      <c r="B99" s="76" t="s">
        <v>137</v>
      </c>
      <c r="C99" s="76" t="s">
        <v>83</v>
      </c>
      <c r="D99" s="76" t="s">
        <v>84</v>
      </c>
      <c r="E99" s="76" t="s">
        <v>85</v>
      </c>
      <c r="F99" s="76" t="s">
        <v>86</v>
      </c>
      <c r="G99" s="76" t="s">
        <v>60</v>
      </c>
      <c r="H99" s="76" t="s">
        <v>87</v>
      </c>
      <c r="I99" s="76" t="s">
        <v>88</v>
      </c>
      <c r="J99" s="76" t="s">
        <v>89</v>
      </c>
      <c r="K99" s="76" t="s">
        <v>90</v>
      </c>
      <c r="L99" s="76" t="s">
        <v>91</v>
      </c>
      <c r="M99" s="76" t="s">
        <v>92</v>
      </c>
      <c r="N99" s="76" t="s">
        <v>93</v>
      </c>
      <c r="O99" s="47"/>
      <c r="P99" s="47"/>
    </row>
    <row r="100" spans="2:16" x14ac:dyDescent="0.2">
      <c r="B100" s="73">
        <f t="shared" ref="B100:B109" si="23">+B85</f>
        <v>2013</v>
      </c>
      <c r="C100" s="71">
        <f>SUMIF(Inputs!$A:$A,Summaries!$B100&amp;C$42,Inputs!$F:$F)</f>
        <v>0</v>
      </c>
      <c r="D100" s="71">
        <f>SUMIF(Inputs!$A:$A,Summaries!$B100&amp;D$42,Inputs!$F:$F)</f>
        <v>0</v>
      </c>
      <c r="E100" s="71">
        <f>SUMIF(Inputs!$A:$A,Summaries!$B100&amp;E$42,Inputs!$F:$F)</f>
        <v>0</v>
      </c>
      <c r="F100" s="71">
        <f>SUMIF(Inputs!$A:$A,Summaries!$B100&amp;F$42,Inputs!$F:$F)</f>
        <v>0</v>
      </c>
      <c r="G100" s="71">
        <f>SUMIF(Inputs!$A:$A,Summaries!$B100&amp;G$42,Inputs!$F:$F)</f>
        <v>23.1</v>
      </c>
      <c r="H100" s="71">
        <f>SUMIF(Inputs!$A:$A,Summaries!$B100&amp;H$42,Inputs!$F:$F)</f>
        <v>60</v>
      </c>
      <c r="I100" s="71">
        <f>SUMIF(Inputs!$A:$A,Summaries!$B100&amp;I$42,Inputs!$F:$F)</f>
        <v>131.20000000000002</v>
      </c>
      <c r="J100" s="71">
        <f>SUMIF(Inputs!$A:$A,Summaries!$B100&amp;J$42,Inputs!$F:$F)</f>
        <v>93.799999999999983</v>
      </c>
      <c r="K100" s="71">
        <f>SUMIF(Inputs!$A:$A,Summaries!$B100&amp;K$42,Inputs!$F:$F)</f>
        <v>28.749999999999996</v>
      </c>
      <c r="L100" s="71">
        <f>SUMIF(Inputs!$A:$A,Summaries!$B100&amp;L$42,Inputs!$F:$F)</f>
        <v>0.4</v>
      </c>
      <c r="M100" s="71">
        <f>SUMIF(Inputs!$A:$A,Summaries!$B100&amp;M$42,Inputs!$F:$F)</f>
        <v>0</v>
      </c>
      <c r="N100" s="71">
        <f>SUMIF(Inputs!$A:$A,Summaries!$B100&amp;N$42,Inputs!$F:$F)</f>
        <v>0</v>
      </c>
      <c r="O100" s="115">
        <f t="shared" ref="O100:O110" si="24">SUM(C100:N100)</f>
        <v>337.25</v>
      </c>
      <c r="P100" s="47"/>
    </row>
    <row r="101" spans="2:16" x14ac:dyDescent="0.2">
      <c r="B101" s="73">
        <f t="shared" si="23"/>
        <v>2014</v>
      </c>
      <c r="C101" s="71">
        <f>SUMIF(Inputs!$A:$A,Summaries!$B101&amp;C$42,Inputs!$F:$F)</f>
        <v>0</v>
      </c>
      <c r="D101" s="71">
        <f>SUMIF(Inputs!$A:$A,Summaries!$B101&amp;D$42,Inputs!$F:$F)</f>
        <v>0</v>
      </c>
      <c r="E101" s="71">
        <f>SUMIF(Inputs!$A:$A,Summaries!$B101&amp;E$42,Inputs!$F:$F)</f>
        <v>0</v>
      </c>
      <c r="F101" s="71">
        <f>SUMIF(Inputs!$A:$A,Summaries!$B101&amp;F$42,Inputs!$F:$F)</f>
        <v>0</v>
      </c>
      <c r="G101" s="71">
        <f>SUMIF(Inputs!$A:$A,Summaries!$B101&amp;G$42,Inputs!$F:$F)</f>
        <v>11.9</v>
      </c>
      <c r="H101" s="71">
        <f>SUMIF(Inputs!$A:$A,Summaries!$B101&amp;H$42,Inputs!$F:$F)</f>
        <v>68.099999999999994</v>
      </c>
      <c r="I101" s="71">
        <f>SUMIF(Inputs!$A:$A,Summaries!$B101&amp;I$42,Inputs!$F:$F)</f>
        <v>71</v>
      </c>
      <c r="J101" s="71">
        <f>SUMIF(Inputs!$A:$A,Summaries!$B101&amp;J$42,Inputs!$F:$F)</f>
        <v>81.799999999999983</v>
      </c>
      <c r="K101" s="71">
        <f>SUMIF(Inputs!$A:$A,Summaries!$B101&amp;K$42,Inputs!$F:$F)</f>
        <v>30.099999999999998</v>
      </c>
      <c r="L101" s="71">
        <f>SUMIF(Inputs!$A:$A,Summaries!$B101&amp;L$42,Inputs!$F:$F)</f>
        <v>1.3</v>
      </c>
      <c r="M101" s="71">
        <f>SUMIF(Inputs!$A:$A,Summaries!$B101&amp;M$42,Inputs!$F:$F)</f>
        <v>0</v>
      </c>
      <c r="N101" s="71">
        <f>SUMIF(Inputs!$A:$A,Summaries!$B101&amp;N$42,Inputs!$F:$F)</f>
        <v>0</v>
      </c>
      <c r="O101" s="115">
        <f t="shared" si="24"/>
        <v>264.2</v>
      </c>
      <c r="P101" s="47"/>
    </row>
    <row r="102" spans="2:16" x14ac:dyDescent="0.2">
      <c r="B102" s="73">
        <f t="shared" si="23"/>
        <v>2015</v>
      </c>
      <c r="C102" s="71">
        <f>SUMIF(Inputs!$A:$A,Summaries!$B102&amp;C$42,Inputs!$F:$F)</f>
        <v>0</v>
      </c>
      <c r="D102" s="71">
        <f>SUMIF(Inputs!$A:$A,Summaries!$B102&amp;D$42,Inputs!$F:$F)</f>
        <v>0</v>
      </c>
      <c r="E102" s="71">
        <f>SUMIF(Inputs!$A:$A,Summaries!$B102&amp;E$42,Inputs!$F:$F)</f>
        <v>0</v>
      </c>
      <c r="F102" s="71">
        <f>SUMIF(Inputs!$A:$A,Summaries!$B102&amp;F$42,Inputs!$F:$F)</f>
        <v>0</v>
      </c>
      <c r="G102" s="71">
        <f>SUMIF(Inputs!$A:$A,Summaries!$B102&amp;G$42,Inputs!$F:$F)</f>
        <v>34.1</v>
      </c>
      <c r="H102" s="71">
        <f>SUMIF(Inputs!$A:$A,Summaries!$B102&amp;H$42,Inputs!$F:$F)</f>
        <v>32.299999999999997</v>
      </c>
      <c r="I102" s="71">
        <f>SUMIF(Inputs!$A:$A,Summaries!$B102&amp;I$42,Inputs!$F:$F)</f>
        <v>114.29999999999998</v>
      </c>
      <c r="J102" s="71">
        <f>SUMIF(Inputs!$A:$A,Summaries!$B102&amp;J$42,Inputs!$F:$F)</f>
        <v>88.6</v>
      </c>
      <c r="K102" s="71">
        <f>SUMIF(Inputs!$A:$A,Summaries!$B102&amp;K$42,Inputs!$F:$F)</f>
        <v>81.900000000000006</v>
      </c>
      <c r="L102" s="71">
        <f>SUMIF(Inputs!$A:$A,Summaries!$B102&amp;L$42,Inputs!$F:$F)</f>
        <v>0</v>
      </c>
      <c r="M102" s="71">
        <f>SUMIF(Inputs!$A:$A,Summaries!$B102&amp;M$42,Inputs!$F:$F)</f>
        <v>0</v>
      </c>
      <c r="N102" s="71">
        <f>SUMIF(Inputs!$A:$A,Summaries!$B102&amp;N$42,Inputs!$F:$F)</f>
        <v>0</v>
      </c>
      <c r="O102" s="115">
        <f t="shared" si="24"/>
        <v>351.19999999999993</v>
      </c>
      <c r="P102" s="47"/>
    </row>
    <row r="103" spans="2:16" x14ac:dyDescent="0.2">
      <c r="B103" s="73">
        <f t="shared" si="23"/>
        <v>2016</v>
      </c>
      <c r="C103" s="71">
        <f>SUMIF(Inputs!$A:$A,Summaries!$B103&amp;C$42,Inputs!$F:$F)</f>
        <v>0</v>
      </c>
      <c r="D103" s="71">
        <f>SUMIF(Inputs!$A:$A,Summaries!$B103&amp;D$42,Inputs!$F:$F)</f>
        <v>0</v>
      </c>
      <c r="E103" s="71">
        <f>SUMIF(Inputs!$A:$A,Summaries!$B103&amp;E$42,Inputs!$F:$F)</f>
        <v>0</v>
      </c>
      <c r="F103" s="71">
        <f>SUMIF(Inputs!$A:$A,Summaries!$B103&amp;F$42,Inputs!$F:$F)</f>
        <v>0</v>
      </c>
      <c r="G103" s="71">
        <f>SUMIF(Inputs!$A:$A,Summaries!$B103&amp;G$42,Inputs!$F:$F)</f>
        <v>36.9</v>
      </c>
      <c r="H103" s="71">
        <f>SUMIF(Inputs!$A:$A,Summaries!$B103&amp;H$42,Inputs!$F:$F)</f>
        <v>83.7</v>
      </c>
      <c r="I103" s="71">
        <f>SUMIF(Inputs!$A:$A,Summaries!$B103&amp;I$42,Inputs!$F:$F)</f>
        <v>176.89999999999998</v>
      </c>
      <c r="J103" s="71">
        <f>SUMIF(Inputs!$A:$A,Summaries!$B103&amp;J$42,Inputs!$F:$F)</f>
        <v>195.4</v>
      </c>
      <c r="K103" s="71">
        <f>SUMIF(Inputs!$A:$A,Summaries!$B103&amp;K$42,Inputs!$F:$F)</f>
        <v>69.400000000000006</v>
      </c>
      <c r="L103" s="71">
        <f>SUMIF(Inputs!$A:$A,Summaries!$B103&amp;L$42,Inputs!$F:$F)</f>
        <v>4.0999999999999996</v>
      </c>
      <c r="M103" s="71">
        <f>SUMIF(Inputs!$A:$A,Summaries!$B103&amp;M$42,Inputs!$F:$F)</f>
        <v>0</v>
      </c>
      <c r="N103" s="71">
        <f>SUMIF(Inputs!$A:$A,Summaries!$B103&amp;N$42,Inputs!$F:$F)</f>
        <v>0</v>
      </c>
      <c r="O103" s="115">
        <f t="shared" si="24"/>
        <v>566.4</v>
      </c>
      <c r="P103" s="47"/>
    </row>
    <row r="104" spans="2:16" x14ac:dyDescent="0.2">
      <c r="B104" s="73">
        <f t="shared" si="23"/>
        <v>2017</v>
      </c>
      <c r="C104" s="71">
        <f>SUMIF(Inputs!$A:$A,Summaries!$B104&amp;C$42,Inputs!$F:$F)</f>
        <v>0</v>
      </c>
      <c r="D104" s="71">
        <f>SUMIF(Inputs!$A:$A,Summaries!$B104&amp;D$42,Inputs!$F:$F)</f>
        <v>0</v>
      </c>
      <c r="E104" s="71">
        <f>SUMIF(Inputs!$A:$A,Summaries!$B104&amp;E$42,Inputs!$F:$F)</f>
        <v>0</v>
      </c>
      <c r="F104" s="71">
        <f>SUMIF(Inputs!$A:$A,Summaries!$B104&amp;F$42,Inputs!$F:$F)</f>
        <v>0</v>
      </c>
      <c r="G104" s="71">
        <f>SUMIF(Inputs!$A:$A,Summaries!$B104&amp;G$42,Inputs!$F:$F)</f>
        <v>9</v>
      </c>
      <c r="H104" s="71">
        <f>SUMIF(Inputs!$A:$A,Summaries!$B104&amp;H$42,Inputs!$F:$F)</f>
        <v>68.2</v>
      </c>
      <c r="I104" s="71">
        <f>SUMIF(Inputs!$A:$A,Summaries!$B104&amp;I$42,Inputs!$F:$F)</f>
        <v>116.49999999999999</v>
      </c>
      <c r="J104" s="71">
        <f>SUMIF(Inputs!$A:$A,Summaries!$B104&amp;J$42,Inputs!$F:$F)</f>
        <v>75.2</v>
      </c>
      <c r="K104" s="71">
        <f>SUMIF(Inputs!$A:$A,Summaries!$B104&amp;K$42,Inputs!$F:$F)</f>
        <v>71.499999999999986</v>
      </c>
      <c r="L104" s="71">
        <f>SUMIF(Inputs!$A:$A,Summaries!$B104&amp;L$42,Inputs!$F:$F)</f>
        <v>8.1</v>
      </c>
      <c r="M104" s="71">
        <f>SUMIF(Inputs!$A:$A,Summaries!$B104&amp;M$42,Inputs!$F:$F)</f>
        <v>0</v>
      </c>
      <c r="N104" s="71">
        <f>SUMIF(Inputs!$A:$A,Summaries!$B104&amp;N$42,Inputs!$F:$F)</f>
        <v>0</v>
      </c>
      <c r="O104" s="115">
        <f t="shared" si="24"/>
        <v>348.5</v>
      </c>
      <c r="P104" s="47"/>
    </row>
    <row r="105" spans="2:16" x14ac:dyDescent="0.2">
      <c r="B105" s="73">
        <f t="shared" si="23"/>
        <v>2018</v>
      </c>
      <c r="C105" s="71">
        <f>SUMIF(Inputs!$A:$A,Summaries!$B105&amp;C$42,Inputs!$F:$F)</f>
        <v>0</v>
      </c>
      <c r="D105" s="71">
        <f>SUMIF(Inputs!$A:$A,Summaries!$B105&amp;D$42,Inputs!$F:$F)</f>
        <v>0</v>
      </c>
      <c r="E105" s="71">
        <f>SUMIF(Inputs!$A:$A,Summaries!$B105&amp;E$42,Inputs!$F:$F)</f>
        <v>0</v>
      </c>
      <c r="F105" s="71">
        <f>SUMIF(Inputs!$A:$A,Summaries!$B105&amp;F$42,Inputs!$F:$F)</f>
        <v>0</v>
      </c>
      <c r="G105" s="71">
        <f>SUMIF(Inputs!$A:$A,Summaries!$B105&amp;G$42,Inputs!$F:$F)</f>
        <v>43.4</v>
      </c>
      <c r="H105" s="71">
        <f>SUMIF(Inputs!$A:$A,Summaries!$B105&amp;H$42,Inputs!$F:$F)</f>
        <v>60.5</v>
      </c>
      <c r="I105" s="71">
        <f>SUMIF(Inputs!$A:$A,Summaries!$B105&amp;I$42,Inputs!$F:$F)</f>
        <v>167.8</v>
      </c>
      <c r="J105" s="71">
        <f>SUMIF(Inputs!$A:$A,Summaries!$B105&amp;J$42,Inputs!$F:$F)</f>
        <v>162.4</v>
      </c>
      <c r="K105" s="71">
        <f>SUMIF(Inputs!$A:$A,Summaries!$B105&amp;K$42,Inputs!$F:$F)</f>
        <v>76.399999999999977</v>
      </c>
      <c r="L105" s="71">
        <f>SUMIF(Inputs!$A:$A,Summaries!$B105&amp;L$42,Inputs!$F:$F)</f>
        <v>8.1999999999999993</v>
      </c>
      <c r="M105" s="71">
        <f>SUMIF(Inputs!$A:$A,Summaries!$B105&amp;M$42,Inputs!$F:$F)</f>
        <v>0</v>
      </c>
      <c r="N105" s="71">
        <f>SUMIF(Inputs!$A:$A,Summaries!$B105&amp;N$42,Inputs!$F:$F)</f>
        <v>0</v>
      </c>
      <c r="O105" s="115">
        <f t="shared" si="24"/>
        <v>518.70000000000005</v>
      </c>
      <c r="P105" s="47"/>
    </row>
    <row r="106" spans="2:16" x14ac:dyDescent="0.2">
      <c r="B106" s="73">
        <f t="shared" si="23"/>
        <v>2019</v>
      </c>
      <c r="C106" s="71">
        <f>SUMIF(Inputs!$A:$A,Summaries!$B106&amp;C$42,Inputs!$F:$F)</f>
        <v>0</v>
      </c>
      <c r="D106" s="71">
        <f>SUMIF(Inputs!$A:$A,Summaries!$B106&amp;D$42,Inputs!$F:$F)</f>
        <v>0</v>
      </c>
      <c r="E106" s="71">
        <f>SUMIF(Inputs!$A:$A,Summaries!$B106&amp;E$42,Inputs!$F:$F)</f>
        <v>0</v>
      </c>
      <c r="F106" s="71">
        <f>SUMIF(Inputs!$A:$A,Summaries!$B106&amp;F$42,Inputs!$F:$F)</f>
        <v>0</v>
      </c>
      <c r="G106" s="71">
        <f>SUMIF(Inputs!$A:$A,Summaries!$B106&amp;G$42,Inputs!$F:$F)</f>
        <v>0</v>
      </c>
      <c r="H106" s="71">
        <f>SUMIF(Inputs!$A:$A,Summaries!$B106&amp;H$42,Inputs!$F:$F)</f>
        <v>41.300000000000004</v>
      </c>
      <c r="I106" s="71">
        <f>SUMIF(Inputs!$A:$A,Summaries!$B106&amp;I$42,Inputs!$F:$F)</f>
        <v>166.90000000000003</v>
      </c>
      <c r="J106" s="71">
        <f>SUMIF(Inputs!$A:$A,Summaries!$B106&amp;J$42,Inputs!$F:$F)</f>
        <v>103.30000000000003</v>
      </c>
      <c r="K106" s="71">
        <f>SUMIF(Inputs!$A:$A,Summaries!$B106&amp;K$42,Inputs!$F:$F)</f>
        <v>25.400000000000002</v>
      </c>
      <c r="L106" s="71">
        <f>SUMIF(Inputs!$A:$A,Summaries!$B106&amp;L$42,Inputs!$F:$F)</f>
        <v>5.0999999999999996</v>
      </c>
      <c r="M106" s="71">
        <f>SUMIF(Inputs!$A:$A,Summaries!$B106&amp;M$42,Inputs!$F:$F)</f>
        <v>0</v>
      </c>
      <c r="N106" s="71">
        <f>SUMIF(Inputs!$A:$A,Summaries!$B106&amp;N$42,Inputs!$F:$F)</f>
        <v>0</v>
      </c>
      <c r="O106" s="115">
        <f t="shared" si="24"/>
        <v>342.00000000000006</v>
      </c>
      <c r="P106" s="47"/>
    </row>
    <row r="107" spans="2:16" x14ac:dyDescent="0.2">
      <c r="B107" s="73">
        <f t="shared" si="23"/>
        <v>2020</v>
      </c>
      <c r="C107" s="71">
        <f>SUMIF(Inputs!$A:$A,Summaries!$B107&amp;C$42,Inputs!$F:$F)</f>
        <v>0</v>
      </c>
      <c r="D107" s="71">
        <f>SUMIF(Inputs!$A:$A,Summaries!$B107&amp;D$42,Inputs!$F:$F)</f>
        <v>0</v>
      </c>
      <c r="E107" s="71">
        <f>SUMIF(Inputs!$A:$A,Summaries!$B107&amp;E$42,Inputs!$F:$F)</f>
        <v>0</v>
      </c>
      <c r="F107" s="71">
        <f>SUMIF(Inputs!$A:$A,Summaries!$B107&amp;F$42,Inputs!$F:$F)</f>
        <v>0</v>
      </c>
      <c r="G107" s="71">
        <f>SUMIF(Inputs!$A:$A,Summaries!$B107&amp;G$42,Inputs!$F:$F)</f>
        <v>24.2</v>
      </c>
      <c r="H107" s="71">
        <f>SUMIF(Inputs!$A:$A,Summaries!$B107&amp;H$42,Inputs!$F:$F)</f>
        <v>97.700000000000017</v>
      </c>
      <c r="I107" s="71">
        <f>SUMIF(Inputs!$A:$A,Summaries!$B107&amp;I$42,Inputs!$F:$F)</f>
        <v>215.7</v>
      </c>
      <c r="J107" s="71">
        <f>SUMIF(Inputs!$A:$A,Summaries!$B107&amp;J$42,Inputs!$F:$F)</f>
        <v>126.69999999999999</v>
      </c>
      <c r="K107" s="71">
        <f>SUMIF(Inputs!$A:$A,Summaries!$B107&amp;K$42,Inputs!$F:$F)</f>
        <v>33.300000000000004</v>
      </c>
      <c r="L107" s="71">
        <f>SUMIF(Inputs!$A:$A,Summaries!$B107&amp;L$42,Inputs!$F:$F)</f>
        <v>0</v>
      </c>
      <c r="M107" s="71">
        <f>SUMIF(Inputs!$A:$A,Summaries!$B107&amp;M$42,Inputs!$F:$F)</f>
        <v>0</v>
      </c>
      <c r="N107" s="71">
        <f>SUMIF(Inputs!$A:$A,Summaries!$B107&amp;N$42,Inputs!$F:$F)</f>
        <v>0</v>
      </c>
      <c r="O107" s="115">
        <f t="shared" si="24"/>
        <v>497.6</v>
      </c>
      <c r="P107" s="47"/>
    </row>
    <row r="108" spans="2:16" x14ac:dyDescent="0.2">
      <c r="B108" s="73">
        <f t="shared" si="23"/>
        <v>2021</v>
      </c>
      <c r="C108" s="71">
        <f>SUMIF(Inputs!$A:$A,Summaries!$B108&amp;C$42,Inputs!$F:$F)</f>
        <v>0</v>
      </c>
      <c r="D108" s="71">
        <f>SUMIF(Inputs!$A:$A,Summaries!$B108&amp;D$42,Inputs!$F:$F)</f>
        <v>0</v>
      </c>
      <c r="E108" s="71">
        <f>SUMIF(Inputs!$A:$A,Summaries!$B108&amp;E$42,Inputs!$F:$F)</f>
        <v>0</v>
      </c>
      <c r="F108" s="71">
        <f>SUMIF(Inputs!$A:$A,Summaries!$B108&amp;F$42,Inputs!$F:$F)</f>
        <v>0</v>
      </c>
      <c r="G108" s="71">
        <f>SUMIF(Inputs!$A:$A,Summaries!$B108&amp;G$42,Inputs!$F:$F)</f>
        <v>27.9</v>
      </c>
      <c r="H108" s="71">
        <f>SUMIF(Inputs!$A:$A,Summaries!$B108&amp;H$42,Inputs!$F:$F)</f>
        <v>121.99999999999999</v>
      </c>
      <c r="I108" s="71">
        <f>SUMIF(Inputs!$A:$A,Summaries!$B108&amp;I$42,Inputs!$F:$F)</f>
        <v>105.75000000000001</v>
      </c>
      <c r="J108" s="71">
        <f>SUMIF(Inputs!$A:$A,Summaries!$B108&amp;J$42,Inputs!$F:$F)</f>
        <v>179</v>
      </c>
      <c r="K108" s="71">
        <f>SUMIF(Inputs!$A:$A,Summaries!$B108&amp;K$42,Inputs!$F:$F)</f>
        <v>24.900000000000002</v>
      </c>
      <c r="L108" s="71">
        <f>SUMIF(Inputs!$A:$A,Summaries!$B108&amp;L$42,Inputs!$F:$F)</f>
        <v>5.6000000000000005</v>
      </c>
      <c r="M108" s="71">
        <f>SUMIF(Inputs!$A:$A,Summaries!$B108&amp;M$42,Inputs!$F:$F)</f>
        <v>0</v>
      </c>
      <c r="N108" s="71">
        <f>SUMIF(Inputs!$A:$A,Summaries!$B108&amp;N$42,Inputs!$F:$F)</f>
        <v>0</v>
      </c>
      <c r="O108" s="115">
        <f t="shared" si="24"/>
        <v>465.15</v>
      </c>
      <c r="P108" s="47"/>
    </row>
    <row r="109" spans="2:16" x14ac:dyDescent="0.2">
      <c r="B109" s="73">
        <f t="shared" si="23"/>
        <v>2022</v>
      </c>
      <c r="C109" s="71">
        <f>SUMIF(Inputs!$A:$A,Summaries!$B109&amp;C$42,Inputs!$F:$F)</f>
        <v>0</v>
      </c>
      <c r="D109" s="71">
        <f>SUMIF(Inputs!$A:$A,Summaries!$B109&amp;D$42,Inputs!$F:$F)</f>
        <v>0</v>
      </c>
      <c r="E109" s="71">
        <f>SUMIF(Inputs!$A:$A,Summaries!$B109&amp;E$42,Inputs!$F:$F)</f>
        <v>0</v>
      </c>
      <c r="F109" s="71">
        <f>SUMIF(Inputs!$A:$A,Summaries!$B109&amp;F$42,Inputs!$F:$F)</f>
        <v>0</v>
      </c>
      <c r="G109" s="71">
        <f>SUMIF(Inputs!$A:$A,Summaries!$B109&amp;G$42,Inputs!$F:$F)</f>
        <v>36.75</v>
      </c>
      <c r="H109" s="71">
        <f>SUMIF(Inputs!$A:$A,Summaries!$B109&amp;H$42,Inputs!$F:$F)</f>
        <v>64.2</v>
      </c>
      <c r="I109" s="71">
        <f>SUMIF(Inputs!$A:$A,Summaries!$B109&amp;I$42,Inputs!$F:$F)</f>
        <v>144.69999999999996</v>
      </c>
      <c r="J109" s="71">
        <f>SUMIF(Inputs!$A:$A,Summaries!$B109&amp;J$42,Inputs!$F:$F)</f>
        <v>140.49999999999997</v>
      </c>
      <c r="K109" s="71">
        <f>SUMIF(Inputs!$A:$A,Summaries!$B109&amp;K$42,Inputs!$F:$F)</f>
        <v>49.15</v>
      </c>
      <c r="L109" s="71">
        <f>SUMIF(Inputs!$A:$A,Summaries!$B109&amp;L$42,Inputs!$F:$F)</f>
        <v>0.2</v>
      </c>
      <c r="M109" s="71">
        <f>SUMIF(Inputs!$A:$A,Summaries!$B109&amp;M$42,Inputs!$F:$F)</f>
        <v>0.9</v>
      </c>
      <c r="N109" s="71">
        <f>SUMIF(Inputs!$A:$A,Summaries!$B109&amp;N$42,Inputs!$F:$F)</f>
        <v>0</v>
      </c>
      <c r="O109" s="115">
        <f t="shared" si="24"/>
        <v>436.39999999999992</v>
      </c>
      <c r="P109" s="47"/>
    </row>
    <row r="110" spans="2:16" x14ac:dyDescent="0.2">
      <c r="B110" s="84" t="s">
        <v>99</v>
      </c>
      <c r="C110" s="85">
        <f>AVERAGE(C100:C109)</f>
        <v>0</v>
      </c>
      <c r="D110" s="85">
        <f t="shared" ref="D110:N110" si="25">AVERAGE(D100:D109)</f>
        <v>0</v>
      </c>
      <c r="E110" s="85">
        <f t="shared" si="25"/>
        <v>0</v>
      </c>
      <c r="F110" s="85">
        <f t="shared" si="25"/>
        <v>0</v>
      </c>
      <c r="G110" s="85">
        <f t="shared" si="25"/>
        <v>24.725000000000001</v>
      </c>
      <c r="H110" s="85">
        <f t="shared" si="25"/>
        <v>69.8</v>
      </c>
      <c r="I110" s="85">
        <f t="shared" si="25"/>
        <v>141.07500000000002</v>
      </c>
      <c r="J110" s="85">
        <f t="shared" si="25"/>
        <v>124.67</v>
      </c>
      <c r="K110" s="85">
        <f t="shared" si="25"/>
        <v>49.079999999999991</v>
      </c>
      <c r="L110" s="85">
        <f t="shared" si="25"/>
        <v>3.3</v>
      </c>
      <c r="M110" s="85">
        <f t="shared" si="25"/>
        <v>0.09</v>
      </c>
      <c r="N110" s="85">
        <f t="shared" si="25"/>
        <v>0</v>
      </c>
      <c r="O110" s="115">
        <f t="shared" si="24"/>
        <v>412.74</v>
      </c>
      <c r="P110" s="47"/>
    </row>
    <row r="111" spans="2:16" x14ac:dyDescent="0.2">
      <c r="B111" s="84" t="s">
        <v>156</v>
      </c>
      <c r="C111" s="125" cm="1">
        <f t="array" ref="C111:N111">TRANSPOSE('Purchased Power Model'!F123:F134)</f>
        <v>0</v>
      </c>
      <c r="D111" s="125">
        <v>0</v>
      </c>
      <c r="E111" s="125">
        <v>0</v>
      </c>
      <c r="F111" s="125">
        <v>7.1000000000000005</v>
      </c>
      <c r="G111" s="125">
        <v>15</v>
      </c>
      <c r="H111" s="125">
        <v>59.100000000000009</v>
      </c>
      <c r="I111" s="125">
        <v>128.29999999999995</v>
      </c>
      <c r="J111" s="125">
        <v>70.799999999999983</v>
      </c>
      <c r="K111" s="125">
        <v>47</v>
      </c>
      <c r="L111" s="125">
        <v>3.3</v>
      </c>
      <c r="M111" s="125">
        <v>0.09</v>
      </c>
      <c r="N111" s="125">
        <v>0</v>
      </c>
      <c r="O111" s="47"/>
      <c r="P111" s="47"/>
    </row>
    <row r="112" spans="2:16" x14ac:dyDescent="0.2">
      <c r="B112" s="84" t="s">
        <v>157</v>
      </c>
      <c r="C112" s="125" cm="1">
        <f t="array" ref="C112:N112">TRANSPOSE('Purchased Power Model'!F135:F146)</f>
        <v>0</v>
      </c>
      <c r="D112" s="125">
        <v>0</v>
      </c>
      <c r="E112" s="125">
        <v>0</v>
      </c>
      <c r="F112" s="125">
        <v>0.71000000000000008</v>
      </c>
      <c r="G112" s="125">
        <v>23.914999999999999</v>
      </c>
      <c r="H112" s="125">
        <v>69.710000000000008</v>
      </c>
      <c r="I112" s="125">
        <v>140.78500000000003</v>
      </c>
      <c r="J112" s="125">
        <v>122.37</v>
      </c>
      <c r="K112" s="125">
        <v>50.904999999999987</v>
      </c>
      <c r="L112" s="125">
        <v>3.3</v>
      </c>
      <c r="M112" s="125">
        <v>0.09</v>
      </c>
      <c r="N112" s="125">
        <v>0</v>
      </c>
      <c r="O112" s="47"/>
      <c r="P112" s="47"/>
    </row>
    <row r="113" spans="1:16" x14ac:dyDescent="0.2">
      <c r="B113" s="74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47"/>
      <c r="P113" s="47"/>
    </row>
    <row r="114" spans="1:16" x14ac:dyDescent="0.2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47"/>
      <c r="P114" s="47"/>
    </row>
    <row r="115" spans="1:16" ht="24" customHeight="1" x14ac:dyDescent="0.2">
      <c r="B115" s="76" t="s">
        <v>6</v>
      </c>
      <c r="C115" s="76" t="s">
        <v>83</v>
      </c>
      <c r="D115" s="76" t="s">
        <v>84</v>
      </c>
      <c r="E115" s="76" t="s">
        <v>85</v>
      </c>
      <c r="F115" s="76" t="s">
        <v>86</v>
      </c>
      <c r="G115" s="76" t="s">
        <v>60</v>
      </c>
      <c r="H115" s="76" t="s">
        <v>87</v>
      </c>
      <c r="I115" s="76" t="s">
        <v>88</v>
      </c>
      <c r="J115" s="76" t="s">
        <v>89</v>
      </c>
      <c r="K115" s="76" t="s">
        <v>90</v>
      </c>
      <c r="L115" s="76" t="s">
        <v>91</v>
      </c>
      <c r="M115" s="76" t="s">
        <v>92</v>
      </c>
      <c r="N115" s="76" t="s">
        <v>93</v>
      </c>
      <c r="O115" s="47"/>
      <c r="P115" s="47"/>
    </row>
    <row r="116" spans="1:16" x14ac:dyDescent="0.2">
      <c r="B116" s="75">
        <f t="shared" ref="B116:B125" si="26">+B100</f>
        <v>2013</v>
      </c>
      <c r="C116" s="82">
        <v>31</v>
      </c>
      <c r="D116" s="82">
        <v>28</v>
      </c>
      <c r="E116" s="82">
        <v>31</v>
      </c>
      <c r="F116" s="82">
        <v>30</v>
      </c>
      <c r="G116" s="82">
        <v>31</v>
      </c>
      <c r="H116" s="82">
        <v>30</v>
      </c>
      <c r="I116" s="82">
        <v>31</v>
      </c>
      <c r="J116" s="82">
        <v>31</v>
      </c>
      <c r="K116" s="82">
        <v>30</v>
      </c>
      <c r="L116" s="82">
        <v>31</v>
      </c>
      <c r="M116" s="82">
        <v>30</v>
      </c>
      <c r="N116" s="82">
        <v>31</v>
      </c>
      <c r="O116" s="115"/>
      <c r="P116" s="47"/>
    </row>
    <row r="117" spans="1:16" x14ac:dyDescent="0.2">
      <c r="B117" s="75">
        <f t="shared" si="26"/>
        <v>2014</v>
      </c>
      <c r="C117" s="82">
        <v>31</v>
      </c>
      <c r="D117" s="82">
        <v>28</v>
      </c>
      <c r="E117" s="82">
        <v>31</v>
      </c>
      <c r="F117" s="82">
        <v>30</v>
      </c>
      <c r="G117" s="82">
        <v>31</v>
      </c>
      <c r="H117" s="82">
        <v>30</v>
      </c>
      <c r="I117" s="82">
        <v>31</v>
      </c>
      <c r="J117" s="82">
        <v>31</v>
      </c>
      <c r="K117" s="82">
        <v>30</v>
      </c>
      <c r="L117" s="82">
        <v>31</v>
      </c>
      <c r="M117" s="82">
        <v>30</v>
      </c>
      <c r="N117" s="82">
        <v>31</v>
      </c>
      <c r="O117" s="115"/>
      <c r="P117" s="47"/>
    </row>
    <row r="118" spans="1:16" x14ac:dyDescent="0.2">
      <c r="B118" s="75">
        <f t="shared" si="26"/>
        <v>2015</v>
      </c>
      <c r="C118" s="82">
        <v>31</v>
      </c>
      <c r="D118" s="82">
        <v>28</v>
      </c>
      <c r="E118" s="82">
        <v>31</v>
      </c>
      <c r="F118" s="82">
        <v>30</v>
      </c>
      <c r="G118" s="82">
        <v>31</v>
      </c>
      <c r="H118" s="82">
        <v>30</v>
      </c>
      <c r="I118" s="82">
        <v>31</v>
      </c>
      <c r="J118" s="82">
        <v>31</v>
      </c>
      <c r="K118" s="82">
        <v>30</v>
      </c>
      <c r="L118" s="82">
        <v>31</v>
      </c>
      <c r="M118" s="82">
        <v>30</v>
      </c>
      <c r="N118" s="82">
        <v>31</v>
      </c>
      <c r="O118" s="115"/>
      <c r="P118" s="47"/>
    </row>
    <row r="119" spans="1:16" x14ac:dyDescent="0.2">
      <c r="B119" s="75">
        <f t="shared" si="26"/>
        <v>2016</v>
      </c>
      <c r="C119" s="82">
        <v>31</v>
      </c>
      <c r="D119" s="82">
        <v>29</v>
      </c>
      <c r="E119" s="82">
        <v>31</v>
      </c>
      <c r="F119" s="82">
        <v>30</v>
      </c>
      <c r="G119" s="82">
        <v>31</v>
      </c>
      <c r="H119" s="82">
        <v>30</v>
      </c>
      <c r="I119" s="82">
        <v>31</v>
      </c>
      <c r="J119" s="82">
        <v>31</v>
      </c>
      <c r="K119" s="82">
        <v>30</v>
      </c>
      <c r="L119" s="82">
        <v>31</v>
      </c>
      <c r="M119" s="82">
        <v>30</v>
      </c>
      <c r="N119" s="82">
        <v>31</v>
      </c>
      <c r="O119" s="115"/>
      <c r="P119" s="47"/>
    </row>
    <row r="120" spans="1:16" x14ac:dyDescent="0.2">
      <c r="B120" s="75">
        <f t="shared" si="26"/>
        <v>2017</v>
      </c>
      <c r="C120" s="82">
        <v>31</v>
      </c>
      <c r="D120" s="82">
        <v>28</v>
      </c>
      <c r="E120" s="82">
        <v>31</v>
      </c>
      <c r="F120" s="82">
        <v>30</v>
      </c>
      <c r="G120" s="82">
        <v>31</v>
      </c>
      <c r="H120" s="82">
        <v>30</v>
      </c>
      <c r="I120" s="82">
        <v>31</v>
      </c>
      <c r="J120" s="82">
        <v>31</v>
      </c>
      <c r="K120" s="82">
        <v>30</v>
      </c>
      <c r="L120" s="82">
        <v>31</v>
      </c>
      <c r="M120" s="82">
        <v>30</v>
      </c>
      <c r="N120" s="82">
        <v>31</v>
      </c>
      <c r="O120" s="115"/>
      <c r="P120" s="47"/>
    </row>
    <row r="121" spans="1:16" x14ac:dyDescent="0.2">
      <c r="B121" s="75">
        <f t="shared" si="26"/>
        <v>2018</v>
      </c>
      <c r="C121" s="82">
        <v>31</v>
      </c>
      <c r="D121" s="82">
        <v>28</v>
      </c>
      <c r="E121" s="82">
        <v>31</v>
      </c>
      <c r="F121" s="82">
        <v>30</v>
      </c>
      <c r="G121" s="82">
        <v>31</v>
      </c>
      <c r="H121" s="82">
        <v>30</v>
      </c>
      <c r="I121" s="82">
        <v>31</v>
      </c>
      <c r="J121" s="82">
        <v>31</v>
      </c>
      <c r="K121" s="82">
        <v>30</v>
      </c>
      <c r="L121" s="82">
        <v>31</v>
      </c>
      <c r="M121" s="82">
        <v>30</v>
      </c>
      <c r="N121" s="82">
        <v>31</v>
      </c>
      <c r="O121" s="115"/>
      <c r="P121" s="47"/>
    </row>
    <row r="122" spans="1:16" x14ac:dyDescent="0.2">
      <c r="B122" s="75">
        <f t="shared" si="26"/>
        <v>2019</v>
      </c>
      <c r="C122" s="82">
        <v>31</v>
      </c>
      <c r="D122" s="82">
        <v>28</v>
      </c>
      <c r="E122" s="82">
        <v>31</v>
      </c>
      <c r="F122" s="82">
        <v>30</v>
      </c>
      <c r="G122" s="82">
        <v>31</v>
      </c>
      <c r="H122" s="82">
        <v>30</v>
      </c>
      <c r="I122" s="82">
        <v>31</v>
      </c>
      <c r="J122" s="82">
        <v>31</v>
      </c>
      <c r="K122" s="82">
        <v>30</v>
      </c>
      <c r="L122" s="82">
        <v>31</v>
      </c>
      <c r="M122" s="82">
        <v>30</v>
      </c>
      <c r="N122" s="82">
        <v>31</v>
      </c>
      <c r="O122" s="115"/>
      <c r="P122" s="47"/>
    </row>
    <row r="123" spans="1:16" x14ac:dyDescent="0.2">
      <c r="B123" s="75">
        <f t="shared" si="26"/>
        <v>2020</v>
      </c>
      <c r="C123" s="82">
        <v>31</v>
      </c>
      <c r="D123" s="82">
        <v>29</v>
      </c>
      <c r="E123" s="82">
        <v>31</v>
      </c>
      <c r="F123" s="82">
        <v>30</v>
      </c>
      <c r="G123" s="82">
        <v>31</v>
      </c>
      <c r="H123" s="82">
        <v>30</v>
      </c>
      <c r="I123" s="82">
        <v>31</v>
      </c>
      <c r="J123" s="82">
        <v>31</v>
      </c>
      <c r="K123" s="82">
        <v>30</v>
      </c>
      <c r="L123" s="82">
        <v>31</v>
      </c>
      <c r="M123" s="82">
        <v>30</v>
      </c>
      <c r="N123" s="82">
        <v>31</v>
      </c>
      <c r="O123" s="115"/>
      <c r="P123" s="47"/>
    </row>
    <row r="124" spans="1:16" x14ac:dyDescent="0.2">
      <c r="B124" s="75">
        <f t="shared" si="26"/>
        <v>2021</v>
      </c>
      <c r="C124" s="82">
        <v>31</v>
      </c>
      <c r="D124" s="82">
        <v>28</v>
      </c>
      <c r="E124" s="82">
        <v>31</v>
      </c>
      <c r="F124" s="82">
        <v>30</v>
      </c>
      <c r="G124" s="82">
        <v>31</v>
      </c>
      <c r="H124" s="82">
        <v>30</v>
      </c>
      <c r="I124" s="82">
        <v>31</v>
      </c>
      <c r="J124" s="82">
        <v>31</v>
      </c>
      <c r="K124" s="82">
        <v>30</v>
      </c>
      <c r="L124" s="82">
        <v>31</v>
      </c>
      <c r="M124" s="82">
        <v>30</v>
      </c>
      <c r="N124" s="82">
        <v>31</v>
      </c>
      <c r="O124" s="115"/>
      <c r="P124" s="47"/>
    </row>
    <row r="125" spans="1:16" x14ac:dyDescent="0.2">
      <c r="B125" s="75">
        <f t="shared" si="26"/>
        <v>2022</v>
      </c>
      <c r="C125" s="82">
        <v>31</v>
      </c>
      <c r="D125" s="82">
        <v>28</v>
      </c>
      <c r="E125" s="82">
        <v>31</v>
      </c>
      <c r="F125" s="82">
        <v>30</v>
      </c>
      <c r="G125" s="82">
        <v>31</v>
      </c>
      <c r="H125" s="82">
        <v>30</v>
      </c>
      <c r="I125" s="82">
        <v>31</v>
      </c>
      <c r="J125" s="82">
        <v>31</v>
      </c>
      <c r="K125" s="82">
        <v>30</v>
      </c>
      <c r="L125" s="82">
        <v>31</v>
      </c>
      <c r="M125" s="82">
        <v>30</v>
      </c>
      <c r="N125" s="82">
        <v>31</v>
      </c>
      <c r="O125" s="115"/>
      <c r="P125" s="47"/>
    </row>
    <row r="126" spans="1:16" x14ac:dyDescent="0.2">
      <c r="B126" s="84" t="s">
        <v>156</v>
      </c>
      <c r="C126" s="88" cm="1">
        <f t="array" ref="C126:N126">TRANSPOSE('Purchased Power Model'!G123:G134)</f>
        <v>31</v>
      </c>
      <c r="D126" s="88">
        <v>28</v>
      </c>
      <c r="E126" s="88">
        <v>31</v>
      </c>
      <c r="F126" s="88">
        <v>30</v>
      </c>
      <c r="G126" s="88">
        <v>31</v>
      </c>
      <c r="H126" s="88">
        <v>30</v>
      </c>
      <c r="I126" s="88">
        <v>31</v>
      </c>
      <c r="J126" s="88">
        <v>31</v>
      </c>
      <c r="K126" s="88">
        <v>30</v>
      </c>
      <c r="L126" s="88">
        <v>31</v>
      </c>
      <c r="M126" s="88">
        <v>30</v>
      </c>
      <c r="N126" s="88">
        <v>31</v>
      </c>
      <c r="O126" s="47"/>
      <c r="P126" s="47"/>
    </row>
    <row r="127" spans="1:16" x14ac:dyDescent="0.2">
      <c r="B127" s="84" t="s">
        <v>157</v>
      </c>
      <c r="C127" s="88" cm="1">
        <f t="array" ref="C127:N127">TRANSPOSE('Purchased Power Model'!G135:G146)</f>
        <v>31</v>
      </c>
      <c r="D127" s="88">
        <v>29</v>
      </c>
      <c r="E127" s="88">
        <v>31</v>
      </c>
      <c r="F127" s="88">
        <v>30</v>
      </c>
      <c r="G127" s="88">
        <v>31</v>
      </c>
      <c r="H127" s="88">
        <v>30</v>
      </c>
      <c r="I127" s="88">
        <v>31</v>
      </c>
      <c r="J127" s="88">
        <v>31</v>
      </c>
      <c r="K127" s="88">
        <v>30</v>
      </c>
      <c r="L127" s="88">
        <v>31</v>
      </c>
      <c r="M127" s="88">
        <v>30</v>
      </c>
      <c r="N127" s="88">
        <v>31</v>
      </c>
      <c r="O127" s="47"/>
      <c r="P127" s="47"/>
    </row>
    <row r="128" spans="1:16" x14ac:dyDescent="0.2">
      <c r="B128" s="74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47"/>
      <c r="P128" s="47"/>
    </row>
    <row r="129" spans="2:16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47"/>
      <c r="P129" s="47"/>
    </row>
    <row r="130" spans="2:16" ht="24" customHeight="1" x14ac:dyDescent="0.2">
      <c r="B130" s="76" t="s">
        <v>95</v>
      </c>
      <c r="C130" s="76" t="s">
        <v>83</v>
      </c>
      <c r="D130" s="76" t="s">
        <v>84</v>
      </c>
      <c r="E130" s="76" t="s">
        <v>85</v>
      </c>
      <c r="F130" s="76" t="s">
        <v>86</v>
      </c>
      <c r="G130" s="76" t="s">
        <v>60</v>
      </c>
      <c r="H130" s="76" t="s">
        <v>87</v>
      </c>
      <c r="I130" s="76" t="s">
        <v>88</v>
      </c>
      <c r="J130" s="76" t="s">
        <v>89</v>
      </c>
      <c r="K130" s="76" t="s">
        <v>90</v>
      </c>
      <c r="L130" s="76" t="s">
        <v>91</v>
      </c>
      <c r="M130" s="76" t="s">
        <v>92</v>
      </c>
      <c r="N130" s="76" t="s">
        <v>93</v>
      </c>
      <c r="O130" s="47"/>
      <c r="P130" s="47"/>
    </row>
    <row r="131" spans="2:16" x14ac:dyDescent="0.2">
      <c r="B131" s="75">
        <f t="shared" ref="B131:B140" si="27">+B175</f>
        <v>2013</v>
      </c>
      <c r="C131" s="111">
        <v>0</v>
      </c>
      <c r="D131" s="111">
        <v>0</v>
      </c>
      <c r="E131" s="111">
        <v>0.33333333333333331</v>
      </c>
      <c r="F131" s="111">
        <v>1</v>
      </c>
      <c r="G131" s="111">
        <v>1</v>
      </c>
      <c r="H131" s="111">
        <v>0.66666666666666663</v>
      </c>
      <c r="I131" s="111">
        <v>0</v>
      </c>
      <c r="J131" s="111">
        <v>0</v>
      </c>
      <c r="K131" s="111">
        <v>0.33333333333333331</v>
      </c>
      <c r="L131" s="111">
        <v>1</v>
      </c>
      <c r="M131" s="111">
        <v>1</v>
      </c>
      <c r="N131" s="111">
        <v>0.66666666666666663</v>
      </c>
      <c r="O131" s="47"/>
      <c r="P131" s="47"/>
    </row>
    <row r="132" spans="2:16" x14ac:dyDescent="0.2">
      <c r="B132" s="75">
        <f t="shared" si="27"/>
        <v>2014</v>
      </c>
      <c r="C132" s="111">
        <f>+C131</f>
        <v>0</v>
      </c>
      <c r="D132" s="111">
        <f t="shared" ref="D132:N132" si="28">+D131</f>
        <v>0</v>
      </c>
      <c r="E132" s="111">
        <f t="shared" si="28"/>
        <v>0.33333333333333331</v>
      </c>
      <c r="F132" s="111">
        <f t="shared" si="28"/>
        <v>1</v>
      </c>
      <c r="G132" s="111">
        <f t="shared" si="28"/>
        <v>1</v>
      </c>
      <c r="H132" s="111">
        <f t="shared" si="28"/>
        <v>0.66666666666666663</v>
      </c>
      <c r="I132" s="111">
        <f t="shared" si="28"/>
        <v>0</v>
      </c>
      <c r="J132" s="111">
        <f t="shared" si="28"/>
        <v>0</v>
      </c>
      <c r="K132" s="111">
        <f t="shared" si="28"/>
        <v>0.33333333333333331</v>
      </c>
      <c r="L132" s="111">
        <f t="shared" si="28"/>
        <v>1</v>
      </c>
      <c r="M132" s="111">
        <f t="shared" si="28"/>
        <v>1</v>
      </c>
      <c r="N132" s="111">
        <f t="shared" si="28"/>
        <v>0.66666666666666663</v>
      </c>
      <c r="O132" s="47"/>
      <c r="P132" s="47"/>
    </row>
    <row r="133" spans="2:16" x14ac:dyDescent="0.2">
      <c r="B133" s="75">
        <f t="shared" si="27"/>
        <v>2015</v>
      </c>
      <c r="C133" s="111">
        <f t="shared" ref="C133:C140" si="29">+C132</f>
        <v>0</v>
      </c>
      <c r="D133" s="111">
        <f t="shared" ref="D133:D141" si="30">+D132</f>
        <v>0</v>
      </c>
      <c r="E133" s="111">
        <f t="shared" ref="E133:E141" si="31">+E132</f>
        <v>0.33333333333333331</v>
      </c>
      <c r="F133" s="111">
        <f t="shared" ref="F133:F141" si="32">+F132</f>
        <v>1</v>
      </c>
      <c r="G133" s="111">
        <f t="shared" ref="G133:G141" si="33">+G132</f>
        <v>1</v>
      </c>
      <c r="H133" s="111">
        <f t="shared" ref="H133:H141" si="34">+H132</f>
        <v>0.66666666666666663</v>
      </c>
      <c r="I133" s="111">
        <f t="shared" ref="I133:I141" si="35">+I132</f>
        <v>0</v>
      </c>
      <c r="J133" s="111">
        <f t="shared" ref="J133:J141" si="36">+J132</f>
        <v>0</v>
      </c>
      <c r="K133" s="111">
        <f t="shared" ref="K133:K141" si="37">+K132</f>
        <v>0.33333333333333331</v>
      </c>
      <c r="L133" s="111">
        <f t="shared" ref="L133:L141" si="38">+L132</f>
        <v>1</v>
      </c>
      <c r="M133" s="111">
        <f t="shared" ref="M133:M141" si="39">+M132</f>
        <v>1</v>
      </c>
      <c r="N133" s="111">
        <f t="shared" ref="N133:N141" si="40">+N132</f>
        <v>0.66666666666666663</v>
      </c>
      <c r="O133" s="47"/>
      <c r="P133" s="47"/>
    </row>
    <row r="134" spans="2:16" x14ac:dyDescent="0.2">
      <c r="B134" s="75">
        <f t="shared" si="27"/>
        <v>2016</v>
      </c>
      <c r="C134" s="111">
        <f t="shared" si="29"/>
        <v>0</v>
      </c>
      <c r="D134" s="111">
        <f t="shared" si="30"/>
        <v>0</v>
      </c>
      <c r="E134" s="111">
        <f t="shared" si="31"/>
        <v>0.33333333333333331</v>
      </c>
      <c r="F134" s="111">
        <f t="shared" si="32"/>
        <v>1</v>
      </c>
      <c r="G134" s="111">
        <f t="shared" si="33"/>
        <v>1</v>
      </c>
      <c r="H134" s="111">
        <f t="shared" si="34"/>
        <v>0.66666666666666663</v>
      </c>
      <c r="I134" s="111">
        <f t="shared" si="35"/>
        <v>0</v>
      </c>
      <c r="J134" s="111">
        <f t="shared" si="36"/>
        <v>0</v>
      </c>
      <c r="K134" s="111">
        <f t="shared" si="37"/>
        <v>0.33333333333333331</v>
      </c>
      <c r="L134" s="111">
        <f t="shared" si="38"/>
        <v>1</v>
      </c>
      <c r="M134" s="111">
        <f t="shared" si="39"/>
        <v>1</v>
      </c>
      <c r="N134" s="111">
        <f t="shared" si="40"/>
        <v>0.66666666666666663</v>
      </c>
      <c r="O134" s="47"/>
      <c r="P134" s="47"/>
    </row>
    <row r="135" spans="2:16" x14ac:dyDescent="0.2">
      <c r="B135" s="75">
        <f t="shared" si="27"/>
        <v>2017</v>
      </c>
      <c r="C135" s="111">
        <f t="shared" si="29"/>
        <v>0</v>
      </c>
      <c r="D135" s="111">
        <f t="shared" si="30"/>
        <v>0</v>
      </c>
      <c r="E135" s="111">
        <f t="shared" si="31"/>
        <v>0.33333333333333331</v>
      </c>
      <c r="F135" s="111">
        <f t="shared" si="32"/>
        <v>1</v>
      </c>
      <c r="G135" s="111">
        <f t="shared" si="33"/>
        <v>1</v>
      </c>
      <c r="H135" s="111">
        <f t="shared" si="34"/>
        <v>0.66666666666666663</v>
      </c>
      <c r="I135" s="111">
        <f t="shared" si="35"/>
        <v>0</v>
      </c>
      <c r="J135" s="111">
        <f t="shared" si="36"/>
        <v>0</v>
      </c>
      <c r="K135" s="111">
        <f t="shared" si="37"/>
        <v>0.33333333333333331</v>
      </c>
      <c r="L135" s="111">
        <f t="shared" si="38"/>
        <v>1</v>
      </c>
      <c r="M135" s="111">
        <f t="shared" si="39"/>
        <v>1</v>
      </c>
      <c r="N135" s="111">
        <f t="shared" si="40"/>
        <v>0.66666666666666663</v>
      </c>
      <c r="O135" s="47"/>
      <c r="P135" s="47"/>
    </row>
    <row r="136" spans="2:16" x14ac:dyDescent="0.2">
      <c r="B136" s="75">
        <f t="shared" si="27"/>
        <v>2018</v>
      </c>
      <c r="C136" s="111">
        <f t="shared" si="29"/>
        <v>0</v>
      </c>
      <c r="D136" s="111">
        <f t="shared" si="30"/>
        <v>0</v>
      </c>
      <c r="E136" s="111">
        <f t="shared" si="31"/>
        <v>0.33333333333333331</v>
      </c>
      <c r="F136" s="111">
        <f t="shared" si="32"/>
        <v>1</v>
      </c>
      <c r="G136" s="111">
        <f t="shared" si="33"/>
        <v>1</v>
      </c>
      <c r="H136" s="111">
        <f t="shared" si="34"/>
        <v>0.66666666666666663</v>
      </c>
      <c r="I136" s="111">
        <f t="shared" si="35"/>
        <v>0</v>
      </c>
      <c r="J136" s="111">
        <f t="shared" si="36"/>
        <v>0</v>
      </c>
      <c r="K136" s="111">
        <f t="shared" si="37"/>
        <v>0.33333333333333331</v>
      </c>
      <c r="L136" s="111">
        <f t="shared" si="38"/>
        <v>1</v>
      </c>
      <c r="M136" s="111">
        <f t="shared" si="39"/>
        <v>1</v>
      </c>
      <c r="N136" s="111">
        <f t="shared" si="40"/>
        <v>0.66666666666666663</v>
      </c>
      <c r="O136" s="47"/>
      <c r="P136" s="47"/>
    </row>
    <row r="137" spans="2:16" x14ac:dyDescent="0.2">
      <c r="B137" s="75">
        <f t="shared" si="27"/>
        <v>2019</v>
      </c>
      <c r="C137" s="111">
        <f t="shared" si="29"/>
        <v>0</v>
      </c>
      <c r="D137" s="111">
        <f t="shared" si="30"/>
        <v>0</v>
      </c>
      <c r="E137" s="111">
        <f t="shared" si="31"/>
        <v>0.33333333333333331</v>
      </c>
      <c r="F137" s="111">
        <f t="shared" si="32"/>
        <v>1</v>
      </c>
      <c r="G137" s="111">
        <f t="shared" si="33"/>
        <v>1</v>
      </c>
      <c r="H137" s="111">
        <f t="shared" si="34"/>
        <v>0.66666666666666663</v>
      </c>
      <c r="I137" s="111">
        <f t="shared" si="35"/>
        <v>0</v>
      </c>
      <c r="J137" s="111">
        <f t="shared" si="36"/>
        <v>0</v>
      </c>
      <c r="K137" s="111">
        <f t="shared" si="37"/>
        <v>0.33333333333333331</v>
      </c>
      <c r="L137" s="111">
        <f t="shared" si="38"/>
        <v>1</v>
      </c>
      <c r="M137" s="111">
        <f t="shared" si="39"/>
        <v>1</v>
      </c>
      <c r="N137" s="111">
        <f t="shared" si="40"/>
        <v>0.66666666666666663</v>
      </c>
      <c r="O137" s="47"/>
      <c r="P137" s="47"/>
    </row>
    <row r="138" spans="2:16" x14ac:dyDescent="0.2">
      <c r="B138" s="75">
        <f t="shared" si="27"/>
        <v>2020</v>
      </c>
      <c r="C138" s="111">
        <f t="shared" si="29"/>
        <v>0</v>
      </c>
      <c r="D138" s="111">
        <f t="shared" si="30"/>
        <v>0</v>
      </c>
      <c r="E138" s="111">
        <f t="shared" si="31"/>
        <v>0.33333333333333331</v>
      </c>
      <c r="F138" s="111">
        <f t="shared" si="32"/>
        <v>1</v>
      </c>
      <c r="G138" s="111">
        <f t="shared" si="33"/>
        <v>1</v>
      </c>
      <c r="H138" s="111">
        <f t="shared" si="34"/>
        <v>0.66666666666666663</v>
      </c>
      <c r="I138" s="111">
        <f t="shared" si="35"/>
        <v>0</v>
      </c>
      <c r="J138" s="111">
        <f t="shared" si="36"/>
        <v>0</v>
      </c>
      <c r="K138" s="111">
        <f t="shared" si="37"/>
        <v>0.33333333333333331</v>
      </c>
      <c r="L138" s="111">
        <f t="shared" si="38"/>
        <v>1</v>
      </c>
      <c r="M138" s="111">
        <f t="shared" si="39"/>
        <v>1</v>
      </c>
      <c r="N138" s="111">
        <f t="shared" si="40"/>
        <v>0.66666666666666663</v>
      </c>
      <c r="O138" s="47"/>
      <c r="P138" s="47"/>
    </row>
    <row r="139" spans="2:16" x14ac:dyDescent="0.2">
      <c r="B139" s="75">
        <f t="shared" si="27"/>
        <v>2021</v>
      </c>
      <c r="C139" s="111">
        <f t="shared" si="29"/>
        <v>0</v>
      </c>
      <c r="D139" s="111">
        <f t="shared" si="30"/>
        <v>0</v>
      </c>
      <c r="E139" s="111">
        <f t="shared" si="31"/>
        <v>0.33333333333333331</v>
      </c>
      <c r="F139" s="111">
        <f t="shared" si="32"/>
        <v>1</v>
      </c>
      <c r="G139" s="111">
        <f t="shared" si="33"/>
        <v>1</v>
      </c>
      <c r="H139" s="111">
        <f t="shared" si="34"/>
        <v>0.66666666666666663</v>
      </c>
      <c r="I139" s="111">
        <f t="shared" si="35"/>
        <v>0</v>
      </c>
      <c r="J139" s="111">
        <f t="shared" si="36"/>
        <v>0</v>
      </c>
      <c r="K139" s="111">
        <f t="shared" si="37"/>
        <v>0.33333333333333331</v>
      </c>
      <c r="L139" s="111">
        <f t="shared" si="38"/>
        <v>1</v>
      </c>
      <c r="M139" s="111">
        <f t="shared" si="39"/>
        <v>1</v>
      </c>
      <c r="N139" s="111">
        <f t="shared" si="40"/>
        <v>0.66666666666666663</v>
      </c>
      <c r="O139" s="47"/>
      <c r="P139" s="47"/>
    </row>
    <row r="140" spans="2:16" x14ac:dyDescent="0.2">
      <c r="B140" s="75">
        <f t="shared" si="27"/>
        <v>2022</v>
      </c>
      <c r="C140" s="111">
        <f t="shared" si="29"/>
        <v>0</v>
      </c>
      <c r="D140" s="111">
        <f t="shared" si="30"/>
        <v>0</v>
      </c>
      <c r="E140" s="111">
        <f t="shared" si="31"/>
        <v>0.33333333333333331</v>
      </c>
      <c r="F140" s="111">
        <f t="shared" si="32"/>
        <v>1</v>
      </c>
      <c r="G140" s="111">
        <f t="shared" si="33"/>
        <v>1</v>
      </c>
      <c r="H140" s="111">
        <f t="shared" si="34"/>
        <v>0.66666666666666663</v>
      </c>
      <c r="I140" s="111">
        <f t="shared" si="35"/>
        <v>0</v>
      </c>
      <c r="J140" s="111">
        <f t="shared" si="36"/>
        <v>0</v>
      </c>
      <c r="K140" s="111">
        <f t="shared" si="37"/>
        <v>0.33333333333333331</v>
      </c>
      <c r="L140" s="111">
        <f t="shared" si="38"/>
        <v>1</v>
      </c>
      <c r="M140" s="111">
        <f t="shared" si="39"/>
        <v>1</v>
      </c>
      <c r="N140" s="111">
        <f t="shared" si="40"/>
        <v>0.66666666666666663</v>
      </c>
      <c r="O140" s="47"/>
      <c r="P140" s="47"/>
    </row>
    <row r="141" spans="2:16" x14ac:dyDescent="0.2">
      <c r="B141" s="84" t="s">
        <v>156</v>
      </c>
      <c r="C141" s="126">
        <f>+C140</f>
        <v>0</v>
      </c>
      <c r="D141" s="126">
        <f t="shared" si="30"/>
        <v>0</v>
      </c>
      <c r="E141" s="126">
        <f t="shared" si="31"/>
        <v>0.33333333333333331</v>
      </c>
      <c r="F141" s="126">
        <f t="shared" si="32"/>
        <v>1</v>
      </c>
      <c r="G141" s="126">
        <f t="shared" si="33"/>
        <v>1</v>
      </c>
      <c r="H141" s="126">
        <f t="shared" si="34"/>
        <v>0.66666666666666663</v>
      </c>
      <c r="I141" s="126">
        <f t="shared" si="35"/>
        <v>0</v>
      </c>
      <c r="J141" s="126">
        <f t="shared" si="36"/>
        <v>0</v>
      </c>
      <c r="K141" s="126">
        <f t="shared" si="37"/>
        <v>0.33333333333333331</v>
      </c>
      <c r="L141" s="126">
        <f t="shared" si="38"/>
        <v>1</v>
      </c>
      <c r="M141" s="126">
        <f t="shared" si="39"/>
        <v>1</v>
      </c>
      <c r="N141" s="126">
        <f t="shared" si="40"/>
        <v>0.66666666666666663</v>
      </c>
      <c r="O141" s="47"/>
      <c r="P141" s="47"/>
    </row>
    <row r="142" spans="2:16" x14ac:dyDescent="0.2">
      <c r="B142" s="84" t="s">
        <v>157</v>
      </c>
      <c r="C142" s="126">
        <f>+C140</f>
        <v>0</v>
      </c>
      <c r="D142" s="126">
        <f t="shared" ref="D142:N142" si="41">+D140</f>
        <v>0</v>
      </c>
      <c r="E142" s="126">
        <f t="shared" si="41"/>
        <v>0.33333333333333331</v>
      </c>
      <c r="F142" s="126">
        <f t="shared" si="41"/>
        <v>1</v>
      </c>
      <c r="G142" s="126">
        <f t="shared" si="41"/>
        <v>1</v>
      </c>
      <c r="H142" s="126">
        <f t="shared" si="41"/>
        <v>0.66666666666666663</v>
      </c>
      <c r="I142" s="126">
        <f t="shared" si="41"/>
        <v>0</v>
      </c>
      <c r="J142" s="126">
        <f t="shared" si="41"/>
        <v>0</v>
      </c>
      <c r="K142" s="126">
        <f t="shared" si="41"/>
        <v>0.33333333333333331</v>
      </c>
      <c r="L142" s="126">
        <f t="shared" si="41"/>
        <v>1</v>
      </c>
      <c r="M142" s="126">
        <f t="shared" si="41"/>
        <v>1</v>
      </c>
      <c r="N142" s="126">
        <f t="shared" si="41"/>
        <v>0.66666666666666663</v>
      </c>
      <c r="O142" s="47"/>
      <c r="P142" s="47"/>
    </row>
    <row r="143" spans="2:16" x14ac:dyDescent="0.2">
      <c r="B143" s="74"/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47"/>
      <c r="P143" s="47"/>
    </row>
    <row r="144" spans="2:16" x14ac:dyDescent="0.2">
      <c r="B144" s="74"/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47"/>
      <c r="P144" s="47"/>
    </row>
    <row r="145" spans="2:16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47"/>
      <c r="P145" s="47"/>
    </row>
    <row r="146" spans="2:16" ht="25.5" x14ac:dyDescent="0.2">
      <c r="B146" s="76" t="s">
        <v>96</v>
      </c>
      <c r="C146" s="76" t="s">
        <v>83</v>
      </c>
      <c r="D146" s="76" t="s">
        <v>84</v>
      </c>
      <c r="E146" s="76" t="s">
        <v>85</v>
      </c>
      <c r="F146" s="76" t="s">
        <v>86</v>
      </c>
      <c r="G146" s="76" t="s">
        <v>60</v>
      </c>
      <c r="H146" s="76" t="s">
        <v>87</v>
      </c>
      <c r="I146" s="76" t="s">
        <v>88</v>
      </c>
      <c r="J146" s="76" t="s">
        <v>89</v>
      </c>
      <c r="K146" s="76" t="s">
        <v>90</v>
      </c>
      <c r="L146" s="76" t="s">
        <v>91</v>
      </c>
      <c r="M146" s="76" t="s">
        <v>92</v>
      </c>
      <c r="N146" s="76" t="s">
        <v>93</v>
      </c>
      <c r="O146" s="47"/>
      <c r="P146" s="47"/>
    </row>
    <row r="147" spans="2:16" x14ac:dyDescent="0.2">
      <c r="B147" s="75">
        <f t="shared" ref="B147:B156" si="42">+B131</f>
        <v>2013</v>
      </c>
      <c r="C147" s="82">
        <f>SUMIF(Inputs!$A:$A,Summaries!$B147&amp;C$42,Inputs!$I:$I)</f>
        <v>352</v>
      </c>
      <c r="D147" s="82">
        <f>SUMIF(Inputs!$A:$A,Summaries!$B147&amp;D$42,Inputs!$I:$I)</f>
        <v>304</v>
      </c>
      <c r="E147" s="82">
        <f>SUMIF(Inputs!$A:$A,Summaries!$B147&amp;E$42,Inputs!$I:$I)</f>
        <v>320</v>
      </c>
      <c r="F147" s="82">
        <f>SUMIF(Inputs!$A:$A,Summaries!$B147&amp;F$42,Inputs!$I:$I)</f>
        <v>352</v>
      </c>
      <c r="G147" s="82">
        <f>SUMIF(Inputs!$A:$A,Summaries!$B147&amp;G$42,Inputs!$I:$I)</f>
        <v>352</v>
      </c>
      <c r="H147" s="82">
        <f>SUMIF(Inputs!$A:$A,Summaries!$B147&amp;H$42,Inputs!$I:$I)</f>
        <v>320</v>
      </c>
      <c r="I147" s="82">
        <f>SUMIF(Inputs!$A:$A,Summaries!$B147&amp;I$42,Inputs!$I:$I)</f>
        <v>352</v>
      </c>
      <c r="J147" s="82">
        <f>SUMIF(Inputs!$A:$A,Summaries!$B147&amp;J$42,Inputs!$I:$I)</f>
        <v>352</v>
      </c>
      <c r="K147" s="82">
        <f>SUMIF(Inputs!$A:$A,Summaries!$B147&amp;K$42,Inputs!$I:$I)</f>
        <v>320</v>
      </c>
      <c r="L147" s="82">
        <f>SUMIF(Inputs!$A:$A,Summaries!$B147&amp;L$42,Inputs!$I:$I)</f>
        <v>352</v>
      </c>
      <c r="M147" s="82">
        <f>SUMIF(Inputs!$A:$A,Summaries!$B147&amp;M$42,Inputs!$I:$I)</f>
        <v>336</v>
      </c>
      <c r="N147" s="82">
        <f>SUMIF(Inputs!$A:$A,Summaries!$B147&amp;N$42,Inputs!$I:$I)</f>
        <v>320</v>
      </c>
      <c r="O147" s="47"/>
      <c r="P147" s="47"/>
    </row>
    <row r="148" spans="2:16" x14ac:dyDescent="0.2">
      <c r="B148" s="75">
        <f t="shared" si="42"/>
        <v>2014</v>
      </c>
      <c r="C148" s="82">
        <f>SUMIF(Inputs!$A:$A,Summaries!$B148&amp;C$42,Inputs!$I:$I)</f>
        <v>352</v>
      </c>
      <c r="D148" s="82">
        <f>SUMIF(Inputs!$A:$A,Summaries!$B148&amp;D$42,Inputs!$I:$I)</f>
        <v>304</v>
      </c>
      <c r="E148" s="82">
        <f>SUMIF(Inputs!$A:$A,Summaries!$B148&amp;E$42,Inputs!$I:$I)</f>
        <v>336</v>
      </c>
      <c r="F148" s="82">
        <f>SUMIF(Inputs!$A:$A,Summaries!$B148&amp;F$42,Inputs!$I:$I)</f>
        <v>336</v>
      </c>
      <c r="G148" s="82">
        <f>SUMIF(Inputs!$A:$A,Summaries!$B148&amp;G$42,Inputs!$I:$I)</f>
        <v>336</v>
      </c>
      <c r="H148" s="82">
        <f>SUMIF(Inputs!$A:$A,Summaries!$B148&amp;H$42,Inputs!$I:$I)</f>
        <v>336</v>
      </c>
      <c r="I148" s="82">
        <f>SUMIF(Inputs!$A:$A,Summaries!$B148&amp;I$42,Inputs!$I:$I)</f>
        <v>352</v>
      </c>
      <c r="J148" s="82">
        <f>SUMIF(Inputs!$A:$A,Summaries!$B148&amp;J$42,Inputs!$I:$I)</f>
        <v>336</v>
      </c>
      <c r="K148" s="82">
        <f>SUMIF(Inputs!$A:$A,Summaries!$B148&amp;K$42,Inputs!$I:$I)</f>
        <v>336</v>
      </c>
      <c r="L148" s="82">
        <f>SUMIF(Inputs!$A:$A,Summaries!$B148&amp;L$42,Inputs!$I:$I)</f>
        <v>352</v>
      </c>
      <c r="M148" s="82">
        <f>SUMIF(Inputs!$A:$A,Summaries!$B148&amp;M$42,Inputs!$I:$I)</f>
        <v>320</v>
      </c>
      <c r="N148" s="82">
        <f>SUMIF(Inputs!$A:$A,Summaries!$B148&amp;N$42,Inputs!$I:$I)</f>
        <v>336</v>
      </c>
      <c r="O148" s="47"/>
      <c r="P148" s="47"/>
    </row>
    <row r="149" spans="2:16" x14ac:dyDescent="0.2">
      <c r="B149" s="75">
        <f t="shared" si="42"/>
        <v>2015</v>
      </c>
      <c r="C149" s="82">
        <f>SUMIF(Inputs!$A:$A,Summaries!$B149&amp;C$42,Inputs!$I:$I)</f>
        <v>336</v>
      </c>
      <c r="D149" s="82">
        <f>SUMIF(Inputs!$A:$A,Summaries!$B149&amp;D$42,Inputs!$I:$I)</f>
        <v>304</v>
      </c>
      <c r="E149" s="82">
        <f>SUMIF(Inputs!$A:$A,Summaries!$B149&amp;E$42,Inputs!$I:$I)</f>
        <v>352</v>
      </c>
      <c r="F149" s="82">
        <f>SUMIF(Inputs!$A:$A,Summaries!$B149&amp;F$42,Inputs!$I:$I)</f>
        <v>336</v>
      </c>
      <c r="G149" s="82">
        <f>SUMIF(Inputs!$A:$A,Summaries!$B149&amp;G$42,Inputs!$I:$I)</f>
        <v>320</v>
      </c>
      <c r="H149" s="82">
        <f>SUMIF(Inputs!$A:$A,Summaries!$B149&amp;H$42,Inputs!$I:$I)</f>
        <v>352</v>
      </c>
      <c r="I149" s="82">
        <f>SUMIF(Inputs!$A:$A,Summaries!$B149&amp;I$42,Inputs!$I:$I)</f>
        <v>352</v>
      </c>
      <c r="J149" s="82">
        <f>SUMIF(Inputs!$A:$A,Summaries!$B149&amp;J$42,Inputs!$I:$I)</f>
        <v>336</v>
      </c>
      <c r="K149" s="82">
        <f>SUMIF(Inputs!$A:$A,Summaries!$B149&amp;K$42,Inputs!$I:$I)</f>
        <v>336</v>
      </c>
      <c r="L149" s="82">
        <f>SUMIF(Inputs!$A:$A,Summaries!$B149&amp;L$42,Inputs!$I:$I)</f>
        <v>336</v>
      </c>
      <c r="M149" s="82">
        <f>SUMIF(Inputs!$A:$A,Summaries!$B149&amp;M$42,Inputs!$I:$I)</f>
        <v>336</v>
      </c>
      <c r="N149" s="82">
        <f>SUMIF(Inputs!$A:$A,Summaries!$B149&amp;N$42,Inputs!$I:$I)</f>
        <v>336</v>
      </c>
      <c r="O149" s="47"/>
      <c r="P149" s="47"/>
    </row>
    <row r="150" spans="2:16" x14ac:dyDescent="0.2">
      <c r="B150" s="75">
        <f t="shared" si="42"/>
        <v>2016</v>
      </c>
      <c r="C150" s="82">
        <f>SUMIF(Inputs!$A:$A,Summaries!$B150&amp;C$42,Inputs!$I:$I)</f>
        <v>320</v>
      </c>
      <c r="D150" s="82">
        <f>SUMIF(Inputs!$A:$A,Summaries!$B150&amp;D$42,Inputs!$I:$I)</f>
        <v>320</v>
      </c>
      <c r="E150" s="82">
        <f>SUMIF(Inputs!$A:$A,Summaries!$B150&amp;E$42,Inputs!$I:$I)</f>
        <v>352</v>
      </c>
      <c r="F150" s="82">
        <f>SUMIF(Inputs!$A:$A,Summaries!$B150&amp;F$42,Inputs!$I:$I)</f>
        <v>336</v>
      </c>
      <c r="G150" s="82">
        <f>SUMIF(Inputs!$A:$A,Summaries!$B150&amp;G$42,Inputs!$I:$I)</f>
        <v>336</v>
      </c>
      <c r="H150" s="82">
        <f>SUMIF(Inputs!$A:$A,Summaries!$B150&amp;H$42,Inputs!$I:$I)</f>
        <v>352</v>
      </c>
      <c r="I150" s="82">
        <f>SUMIF(Inputs!$A:$A,Summaries!$B150&amp;I$42,Inputs!$I:$I)</f>
        <v>320</v>
      </c>
      <c r="J150" s="82">
        <f>SUMIF(Inputs!$A:$A,Summaries!$B150&amp;J$42,Inputs!$I:$I)</f>
        <v>368</v>
      </c>
      <c r="K150" s="82">
        <f>SUMIF(Inputs!$A:$A,Summaries!$B150&amp;K$42,Inputs!$I:$I)</f>
        <v>336</v>
      </c>
      <c r="L150" s="82">
        <f>SUMIF(Inputs!$A:$A,Summaries!$B150&amp;L$42,Inputs!$I:$I)</f>
        <v>320</v>
      </c>
      <c r="M150" s="82">
        <f>SUMIF(Inputs!$A:$A,Summaries!$B150&amp;M$42,Inputs!$I:$I)</f>
        <v>352</v>
      </c>
      <c r="N150" s="82">
        <f>SUMIF(Inputs!$A:$A,Summaries!$B150&amp;N$42,Inputs!$I:$I)</f>
        <v>320</v>
      </c>
      <c r="O150" s="47"/>
      <c r="P150" s="47"/>
    </row>
    <row r="151" spans="2:16" x14ac:dyDescent="0.2">
      <c r="B151" s="75">
        <f t="shared" si="42"/>
        <v>2017</v>
      </c>
      <c r="C151" s="82">
        <f>SUMIF(Inputs!$A:$A,Summaries!$B151&amp;C$42,Inputs!$I:$I)</f>
        <v>336</v>
      </c>
      <c r="D151" s="82">
        <f>SUMIF(Inputs!$A:$A,Summaries!$B151&amp;D$42,Inputs!$I:$I)</f>
        <v>304</v>
      </c>
      <c r="E151" s="82">
        <f>SUMIF(Inputs!$A:$A,Summaries!$B151&amp;E$42,Inputs!$I:$I)</f>
        <v>368</v>
      </c>
      <c r="F151" s="82">
        <f>SUMIF(Inputs!$A:$A,Summaries!$B151&amp;F$42,Inputs!$I:$I)</f>
        <v>304</v>
      </c>
      <c r="G151" s="82">
        <f>SUMIF(Inputs!$A:$A,Summaries!$B151&amp;G$42,Inputs!$I:$I)</f>
        <v>352</v>
      </c>
      <c r="H151" s="82">
        <f>SUMIF(Inputs!$A:$A,Summaries!$B151&amp;H$42,Inputs!$I:$I)</f>
        <v>352</v>
      </c>
      <c r="I151" s="82">
        <f>SUMIF(Inputs!$A:$A,Summaries!$B151&amp;I$42,Inputs!$I:$I)</f>
        <v>320</v>
      </c>
      <c r="J151" s="82">
        <f>SUMIF(Inputs!$A:$A,Summaries!$B151&amp;J$42,Inputs!$I:$I)</f>
        <v>368</v>
      </c>
      <c r="K151" s="82">
        <f>SUMIF(Inputs!$A:$A,Summaries!$B151&amp;K$42,Inputs!$I:$I)</f>
        <v>320</v>
      </c>
      <c r="L151" s="82">
        <f>SUMIF(Inputs!$A:$A,Summaries!$B151&amp;L$42,Inputs!$I:$I)</f>
        <v>336</v>
      </c>
      <c r="M151" s="82">
        <f>SUMIF(Inputs!$A:$A,Summaries!$B151&amp;M$42,Inputs!$I:$I)</f>
        <v>352</v>
      </c>
      <c r="N151" s="82">
        <f>SUMIF(Inputs!$A:$A,Summaries!$B151&amp;N$42,Inputs!$I:$I)</f>
        <v>304</v>
      </c>
      <c r="O151" s="47"/>
      <c r="P151" s="47"/>
    </row>
    <row r="152" spans="2:16" x14ac:dyDescent="0.2">
      <c r="B152" s="75">
        <f t="shared" si="42"/>
        <v>2018</v>
      </c>
      <c r="C152" s="82">
        <f>SUMIF(Inputs!$A:$A,Summaries!$B152&amp;C$42,Inputs!$I:$I)</f>
        <v>352</v>
      </c>
      <c r="D152" s="82">
        <f>SUMIF(Inputs!$A:$A,Summaries!$B152&amp;D$42,Inputs!$I:$I)</f>
        <v>304</v>
      </c>
      <c r="E152" s="82">
        <f>SUMIF(Inputs!$A:$A,Summaries!$B152&amp;E$42,Inputs!$I:$I)</f>
        <v>336</v>
      </c>
      <c r="F152" s="82">
        <f>SUMIF(Inputs!$A:$A,Summaries!$B152&amp;F$42,Inputs!$I:$I)</f>
        <v>336</v>
      </c>
      <c r="G152" s="82">
        <f>SUMIF(Inputs!$A:$A,Summaries!$B152&amp;G$42,Inputs!$I:$I)</f>
        <v>352</v>
      </c>
      <c r="H152" s="82">
        <f>SUMIF(Inputs!$A:$A,Summaries!$B152&amp;H$42,Inputs!$I:$I)</f>
        <v>336</v>
      </c>
      <c r="I152" s="82">
        <f>SUMIF(Inputs!$A:$A,Summaries!$B152&amp;I$42,Inputs!$I:$I)</f>
        <v>336</v>
      </c>
      <c r="J152" s="82">
        <f>SUMIF(Inputs!$A:$A,Summaries!$B152&amp;J$42,Inputs!$I:$I)</f>
        <v>368</v>
      </c>
      <c r="K152" s="82">
        <f>SUMIF(Inputs!$A:$A,Summaries!$B152&amp;K$42,Inputs!$I:$I)</f>
        <v>304</v>
      </c>
      <c r="L152" s="82">
        <f>SUMIF(Inputs!$A:$A,Summaries!$B152&amp;L$42,Inputs!$I:$I)</f>
        <v>352</v>
      </c>
      <c r="M152" s="82">
        <f>SUMIF(Inputs!$A:$A,Summaries!$B152&amp;M$42,Inputs!$I:$I)</f>
        <v>352</v>
      </c>
      <c r="N152" s="82">
        <f>SUMIF(Inputs!$A:$A,Summaries!$B152&amp;N$42,Inputs!$I:$I)</f>
        <v>304</v>
      </c>
      <c r="O152" s="47"/>
      <c r="P152" s="47"/>
    </row>
    <row r="153" spans="2:16" x14ac:dyDescent="0.2">
      <c r="B153" s="75">
        <f t="shared" si="42"/>
        <v>2019</v>
      </c>
      <c r="C153" s="82">
        <f>SUMIF(Inputs!$A:$A,Summaries!$B153&amp;C$42,Inputs!$I:$I)</f>
        <v>352</v>
      </c>
      <c r="D153" s="82">
        <f>SUMIF(Inputs!$A:$A,Summaries!$B153&amp;D$42,Inputs!$I:$I)</f>
        <v>304</v>
      </c>
      <c r="E153" s="82">
        <f>SUMIF(Inputs!$A:$A,Summaries!$B153&amp;E$42,Inputs!$I:$I)</f>
        <v>336</v>
      </c>
      <c r="F153" s="82">
        <f>SUMIF(Inputs!$A:$A,Summaries!$B153&amp;F$42,Inputs!$I:$I)</f>
        <v>336</v>
      </c>
      <c r="G153" s="82">
        <f>SUMIF(Inputs!$A:$A,Summaries!$B153&amp;G$42,Inputs!$I:$I)</f>
        <v>352</v>
      </c>
      <c r="H153" s="82">
        <f>SUMIF(Inputs!$A:$A,Summaries!$B153&amp;H$42,Inputs!$I:$I)</f>
        <v>320</v>
      </c>
      <c r="I153" s="82">
        <f>SUMIF(Inputs!$A:$A,Summaries!$B153&amp;I$42,Inputs!$I:$I)</f>
        <v>352</v>
      </c>
      <c r="J153" s="82">
        <f>SUMIF(Inputs!$A:$A,Summaries!$B153&amp;J$42,Inputs!$I:$I)</f>
        <v>352</v>
      </c>
      <c r="K153" s="82">
        <f>SUMIF(Inputs!$A:$A,Summaries!$B153&amp;K$42,Inputs!$I:$I)</f>
        <v>320</v>
      </c>
      <c r="L153" s="82">
        <f>SUMIF(Inputs!$A:$A,Summaries!$B153&amp;L$42,Inputs!$I:$I)</f>
        <v>352</v>
      </c>
      <c r="M153" s="82">
        <f>SUMIF(Inputs!$A:$A,Summaries!$B153&amp;M$42,Inputs!$I:$I)</f>
        <v>336</v>
      </c>
      <c r="N153" s="82">
        <f>SUMIF(Inputs!$A:$A,Summaries!$B153&amp;N$42,Inputs!$I:$I)</f>
        <v>320</v>
      </c>
      <c r="O153" s="47"/>
      <c r="P153" s="47"/>
    </row>
    <row r="154" spans="2:16" x14ac:dyDescent="0.2">
      <c r="B154" s="75">
        <f t="shared" si="42"/>
        <v>2020</v>
      </c>
      <c r="C154" s="82">
        <f>SUMIF(Inputs!$A:$A,Summaries!$B154&amp;C$42,Inputs!$I:$I)</f>
        <v>352</v>
      </c>
      <c r="D154" s="82">
        <f>SUMIF(Inputs!$A:$A,Summaries!$B154&amp;D$42,Inputs!$I:$I)</f>
        <v>304</v>
      </c>
      <c r="E154" s="82">
        <f>SUMIF(Inputs!$A:$A,Summaries!$B154&amp;E$42,Inputs!$I:$I)</f>
        <v>352</v>
      </c>
      <c r="F154" s="82">
        <f>SUMIF(Inputs!$A:$A,Summaries!$B154&amp;F$42,Inputs!$I:$I)</f>
        <v>336</v>
      </c>
      <c r="G154" s="82">
        <f>SUMIF(Inputs!$A:$A,Summaries!$B154&amp;G$42,Inputs!$I:$I)</f>
        <v>320</v>
      </c>
      <c r="H154" s="82">
        <f>SUMIF(Inputs!$A:$A,Summaries!$B154&amp;H$42,Inputs!$I:$I)</f>
        <v>352</v>
      </c>
      <c r="I154" s="82">
        <f>SUMIF(Inputs!$A:$A,Summaries!$B154&amp;I$42,Inputs!$I:$I)</f>
        <v>352</v>
      </c>
      <c r="J154" s="82">
        <f>SUMIF(Inputs!$A:$A,Summaries!$B154&amp;J$42,Inputs!$I:$I)</f>
        <v>336</v>
      </c>
      <c r="K154" s="82">
        <f>SUMIF(Inputs!$A:$A,Summaries!$B154&amp;K$42,Inputs!$I:$I)</f>
        <v>336</v>
      </c>
      <c r="L154" s="82">
        <f>SUMIF(Inputs!$A:$A,Summaries!$B154&amp;L$42,Inputs!$I:$I)</f>
        <v>336</v>
      </c>
      <c r="M154" s="82">
        <f>SUMIF(Inputs!$A:$A,Summaries!$B154&amp;M$42,Inputs!$I:$I)</f>
        <v>336</v>
      </c>
      <c r="N154" s="82">
        <f>SUMIF(Inputs!$A:$A,Summaries!$B154&amp;N$42,Inputs!$I:$I)</f>
        <v>336</v>
      </c>
      <c r="O154" s="47"/>
      <c r="P154" s="47"/>
    </row>
    <row r="155" spans="2:16" x14ac:dyDescent="0.2">
      <c r="B155" s="75">
        <f t="shared" si="42"/>
        <v>2021</v>
      </c>
      <c r="C155" s="82">
        <f>SUMIF(Inputs!$A:$A,Summaries!$B155&amp;C$42,Inputs!$I:$I)</f>
        <v>320</v>
      </c>
      <c r="D155" s="82">
        <f>SUMIF(Inputs!$A:$A,Summaries!$B155&amp;D$42,Inputs!$I:$I)</f>
        <v>304</v>
      </c>
      <c r="E155" s="82">
        <f>SUMIF(Inputs!$A:$A,Summaries!$B155&amp;E$42,Inputs!$I:$I)</f>
        <v>368</v>
      </c>
      <c r="F155" s="82">
        <f>SUMIF(Inputs!$A:$A,Summaries!$B155&amp;F$42,Inputs!$I:$I)</f>
        <v>336</v>
      </c>
      <c r="G155" s="82">
        <f>SUMIF(Inputs!$A:$A,Summaries!$B155&amp;G$42,Inputs!$I:$I)</f>
        <v>320</v>
      </c>
      <c r="H155" s="82">
        <f>SUMIF(Inputs!$A:$A,Summaries!$B155&amp;H$42,Inputs!$I:$I)</f>
        <v>352</v>
      </c>
      <c r="I155" s="82">
        <f>SUMIF(Inputs!$A:$A,Summaries!$B155&amp;I$42,Inputs!$I:$I)</f>
        <v>336</v>
      </c>
      <c r="J155" s="82">
        <f>SUMIF(Inputs!$A:$A,Summaries!$B155&amp;J$42,Inputs!$I:$I)</f>
        <v>352</v>
      </c>
      <c r="K155" s="82">
        <f>SUMIF(Inputs!$A:$A,Summaries!$B155&amp;K$42,Inputs!$I:$I)</f>
        <v>336</v>
      </c>
      <c r="L155" s="82">
        <f>SUMIF(Inputs!$A:$A,Summaries!$B155&amp;L$42,Inputs!$I:$I)</f>
        <v>320</v>
      </c>
      <c r="M155" s="82">
        <f>SUMIF(Inputs!$A:$A,Summaries!$B155&amp;M$42,Inputs!$I:$I)</f>
        <v>352</v>
      </c>
      <c r="N155" s="82">
        <f>SUMIF(Inputs!$A:$A,Summaries!$B155&amp;N$42,Inputs!$I:$I)</f>
        <v>336</v>
      </c>
      <c r="O155" s="47"/>
      <c r="P155" s="47"/>
    </row>
    <row r="156" spans="2:16" x14ac:dyDescent="0.2">
      <c r="B156" s="75">
        <f t="shared" si="42"/>
        <v>2022</v>
      </c>
      <c r="C156" s="82">
        <f>SUMIF(Inputs!$A:$A,Summaries!$B156&amp;C$42,Inputs!$I:$I)</f>
        <v>320</v>
      </c>
      <c r="D156" s="82">
        <f>SUMIF(Inputs!$A:$A,Summaries!$B156&amp;D$42,Inputs!$I:$I)</f>
        <v>304</v>
      </c>
      <c r="E156" s="82">
        <f>SUMIF(Inputs!$A:$A,Summaries!$B156&amp;E$42,Inputs!$I:$I)</f>
        <v>368</v>
      </c>
      <c r="F156" s="82">
        <f>SUMIF(Inputs!$A:$A,Summaries!$B156&amp;F$42,Inputs!$I:$I)</f>
        <v>320</v>
      </c>
      <c r="G156" s="82">
        <f>SUMIF(Inputs!$A:$A,Summaries!$B156&amp;G$42,Inputs!$I:$I)</f>
        <v>336</v>
      </c>
      <c r="H156" s="82">
        <f>SUMIF(Inputs!$A:$A,Summaries!$B156&amp;H$42,Inputs!$I:$I)</f>
        <v>352</v>
      </c>
      <c r="I156" s="82">
        <f>SUMIF(Inputs!$A:$A,Summaries!$B156&amp;I$42,Inputs!$I:$I)</f>
        <v>320</v>
      </c>
      <c r="J156" s="82">
        <f>SUMIF(Inputs!$A:$A,Summaries!$B156&amp;J$42,Inputs!$I:$I)</f>
        <v>368</v>
      </c>
      <c r="K156" s="82">
        <f>SUMIF(Inputs!$A:$A,Summaries!$B156&amp;K$42,Inputs!$I:$I)</f>
        <v>336</v>
      </c>
      <c r="L156" s="82">
        <f>SUMIF(Inputs!$A:$A,Summaries!$B156&amp;L$42,Inputs!$I:$I)</f>
        <v>320</v>
      </c>
      <c r="M156" s="82">
        <f>SUMIF(Inputs!$A:$A,Summaries!$B156&amp;M$42,Inputs!$I:$I)</f>
        <v>352</v>
      </c>
      <c r="N156" s="82">
        <f>SUMIF(Inputs!$A:$A,Summaries!$B156&amp;N$42,Inputs!$I:$I)</f>
        <v>320</v>
      </c>
      <c r="O156" s="77"/>
      <c r="P156" s="47"/>
    </row>
    <row r="157" spans="2:16" x14ac:dyDescent="0.2">
      <c r="B157" s="84" t="s">
        <v>156</v>
      </c>
      <c r="C157" s="86">
        <v>336</v>
      </c>
      <c r="D157" s="86">
        <v>304</v>
      </c>
      <c r="E157" s="86">
        <v>368</v>
      </c>
      <c r="F157" s="86">
        <v>304</v>
      </c>
      <c r="G157" s="86">
        <v>352</v>
      </c>
      <c r="H157" s="86">
        <v>352</v>
      </c>
      <c r="I157" s="86">
        <v>320</v>
      </c>
      <c r="J157" s="86">
        <v>368</v>
      </c>
      <c r="K157" s="86">
        <v>320</v>
      </c>
      <c r="L157" s="86">
        <v>336</v>
      </c>
      <c r="M157" s="86">
        <v>352</v>
      </c>
      <c r="N157" s="86">
        <v>304</v>
      </c>
      <c r="O157" s="47"/>
      <c r="P157" s="47"/>
    </row>
    <row r="158" spans="2:16" x14ac:dyDescent="0.2">
      <c r="B158" s="84" t="s">
        <v>157</v>
      </c>
      <c r="C158" s="86">
        <v>352</v>
      </c>
      <c r="D158" s="86">
        <v>320</v>
      </c>
      <c r="E158" s="86">
        <v>320</v>
      </c>
      <c r="F158" s="86">
        <v>352</v>
      </c>
      <c r="G158" s="86">
        <v>352</v>
      </c>
      <c r="H158" s="86">
        <v>320</v>
      </c>
      <c r="I158" s="86">
        <v>352</v>
      </c>
      <c r="J158" s="86">
        <v>352</v>
      </c>
      <c r="K158" s="86">
        <v>320</v>
      </c>
      <c r="L158" s="86">
        <v>352</v>
      </c>
      <c r="M158" s="86">
        <v>336</v>
      </c>
      <c r="N158" s="86">
        <v>320</v>
      </c>
      <c r="O158" s="47"/>
      <c r="P158" s="47"/>
    </row>
    <row r="159" spans="2:16" x14ac:dyDescent="0.2">
      <c r="B159" s="70"/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47"/>
      <c r="P159" s="47"/>
    </row>
    <row r="160" spans="2:16" x14ac:dyDescent="0.2">
      <c r="B160" s="70"/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47"/>
      <c r="P160" s="47"/>
    </row>
    <row r="161" spans="2:16" ht="24" customHeight="1" x14ac:dyDescent="0.2">
      <c r="B161" s="76" t="s">
        <v>138</v>
      </c>
      <c r="C161" s="76" t="s">
        <v>83</v>
      </c>
      <c r="D161" s="76" t="s">
        <v>84</v>
      </c>
      <c r="E161" s="76" t="s">
        <v>85</v>
      </c>
      <c r="F161" s="76" t="s">
        <v>86</v>
      </c>
      <c r="G161" s="76" t="s">
        <v>60</v>
      </c>
      <c r="H161" s="76" t="s">
        <v>87</v>
      </c>
      <c r="I161" s="76" t="s">
        <v>88</v>
      </c>
      <c r="J161" s="76" t="s">
        <v>89</v>
      </c>
      <c r="K161" s="76" t="s">
        <v>90</v>
      </c>
      <c r="L161" s="76" t="s">
        <v>91</v>
      </c>
      <c r="M161" s="76" t="s">
        <v>92</v>
      </c>
      <c r="N161" s="76" t="s">
        <v>93</v>
      </c>
      <c r="O161" s="47"/>
      <c r="P161" s="47"/>
    </row>
    <row r="162" spans="2:16" x14ac:dyDescent="0.2">
      <c r="B162" s="75">
        <f t="shared" ref="B162:B170" si="43">+B101</f>
        <v>2014</v>
      </c>
      <c r="C162" s="82">
        <f>SUMIF(Inputs!$A:$A,Summaries!$B162&amp;C$42,Inputs!$L:$L)</f>
        <v>11531</v>
      </c>
      <c r="D162" s="82">
        <f>SUMIF(Inputs!$A:$A,Summaries!$B162&amp;D$42,Inputs!$L:$L)</f>
        <v>11558</v>
      </c>
      <c r="E162" s="82">
        <f>SUMIF(Inputs!$A:$A,Summaries!$B162&amp;E$42,Inputs!$L:$L)</f>
        <v>11569</v>
      </c>
      <c r="F162" s="82">
        <f>SUMIF(Inputs!$A:$A,Summaries!$B162&amp;F$42,Inputs!$L:$L)</f>
        <v>11580</v>
      </c>
      <c r="G162" s="82">
        <f>SUMIF(Inputs!$A:$A,Summaries!$B162&amp;G$42,Inputs!$L:$L)</f>
        <v>11597</v>
      </c>
      <c r="H162" s="82">
        <f>SUMIF(Inputs!$A:$A,Summaries!$B162&amp;H$42,Inputs!$L:$L)</f>
        <v>11603</v>
      </c>
      <c r="I162" s="82">
        <f>SUMIF(Inputs!$A:$A,Summaries!$B162&amp;I$42,Inputs!$L:$L)</f>
        <v>11623</v>
      </c>
      <c r="J162" s="82">
        <f>SUMIF(Inputs!$A:$A,Summaries!$B162&amp;J$42,Inputs!$L:$L)</f>
        <v>11640</v>
      </c>
      <c r="K162" s="82">
        <f>SUMIF(Inputs!$A:$A,Summaries!$B162&amp;K$42,Inputs!$L:$L)</f>
        <v>11655</v>
      </c>
      <c r="L162" s="82">
        <f>SUMIF(Inputs!$A:$A,Summaries!$B162&amp;L$42,Inputs!$L:$L)</f>
        <v>11666</v>
      </c>
      <c r="M162" s="82">
        <f>SUMIF(Inputs!$A:$A,Summaries!$B162&amp;M$42,Inputs!$L:$L)</f>
        <v>11669</v>
      </c>
      <c r="N162" s="82">
        <f>SUMIF(Inputs!$A:$A,Summaries!$B162&amp;N$42,Inputs!$L:$L)</f>
        <v>11685</v>
      </c>
      <c r="O162" s="47"/>
      <c r="P162" s="47"/>
    </row>
    <row r="163" spans="2:16" x14ac:dyDescent="0.2">
      <c r="B163" s="75">
        <f t="shared" si="43"/>
        <v>2015</v>
      </c>
      <c r="C163" s="82">
        <f>SUMIF(Inputs!$A:$A,Summaries!$B163&amp;C$42,Inputs!$L:$L)</f>
        <v>11706</v>
      </c>
      <c r="D163" s="82">
        <f>SUMIF(Inputs!$A:$A,Summaries!$B163&amp;D$42,Inputs!$L:$L)</f>
        <v>11720</v>
      </c>
      <c r="E163" s="82">
        <f>SUMIF(Inputs!$A:$A,Summaries!$B163&amp;E$42,Inputs!$L:$L)</f>
        <v>11736</v>
      </c>
      <c r="F163" s="82">
        <f>SUMIF(Inputs!$A:$A,Summaries!$B163&amp;F$42,Inputs!$L:$L)</f>
        <v>11746</v>
      </c>
      <c r="G163" s="82">
        <f>SUMIF(Inputs!$A:$A,Summaries!$B163&amp;G$42,Inputs!$L:$L)</f>
        <v>11765</v>
      </c>
      <c r="H163" s="82">
        <f>SUMIF(Inputs!$A:$A,Summaries!$B163&amp;H$42,Inputs!$L:$L)</f>
        <v>11773</v>
      </c>
      <c r="I163" s="82">
        <f>SUMIF(Inputs!$A:$A,Summaries!$B163&amp;I$42,Inputs!$L:$L)</f>
        <v>11778</v>
      </c>
      <c r="J163" s="82">
        <f>SUMIF(Inputs!$A:$A,Summaries!$B163&amp;J$42,Inputs!$L:$L)</f>
        <v>11790</v>
      </c>
      <c r="K163" s="82">
        <f>SUMIF(Inputs!$A:$A,Summaries!$B163&amp;K$42,Inputs!$L:$L)</f>
        <v>11800</v>
      </c>
      <c r="L163" s="82">
        <f>SUMIF(Inputs!$A:$A,Summaries!$B163&amp;L$42,Inputs!$L:$L)</f>
        <v>11810</v>
      </c>
      <c r="M163" s="82">
        <f>SUMIF(Inputs!$A:$A,Summaries!$B163&amp;M$42,Inputs!$L:$L)</f>
        <v>11831</v>
      </c>
      <c r="N163" s="82">
        <f>SUMIF(Inputs!$A:$A,Summaries!$B163&amp;N$42,Inputs!$L:$L)</f>
        <v>11840</v>
      </c>
      <c r="O163" s="47"/>
      <c r="P163" s="47"/>
    </row>
    <row r="164" spans="2:16" x14ac:dyDescent="0.2">
      <c r="B164" s="75">
        <f t="shared" si="43"/>
        <v>2016</v>
      </c>
      <c r="C164" s="82">
        <f>SUMIF(Inputs!$A:$A,Summaries!$B164&amp;C$42,Inputs!$L:$L)</f>
        <v>11841</v>
      </c>
      <c r="D164" s="82">
        <f>SUMIF(Inputs!$A:$A,Summaries!$B164&amp;D$42,Inputs!$L:$L)</f>
        <v>11848</v>
      </c>
      <c r="E164" s="82">
        <f>SUMIF(Inputs!$A:$A,Summaries!$B164&amp;E$42,Inputs!$L:$L)</f>
        <v>11856</v>
      </c>
      <c r="F164" s="82">
        <f>SUMIF(Inputs!$A:$A,Summaries!$B164&amp;F$42,Inputs!$L:$L)</f>
        <v>11862</v>
      </c>
      <c r="G164" s="82">
        <f>SUMIF(Inputs!$A:$A,Summaries!$B164&amp;G$42,Inputs!$L:$L)</f>
        <v>11874</v>
      </c>
      <c r="H164" s="82">
        <f>SUMIF(Inputs!$A:$A,Summaries!$B164&amp;H$42,Inputs!$L:$L)</f>
        <v>11879</v>
      </c>
      <c r="I164" s="82">
        <f>SUMIF(Inputs!$A:$A,Summaries!$B164&amp;I$42,Inputs!$L:$L)</f>
        <v>11897</v>
      </c>
      <c r="J164" s="82">
        <f>SUMIF(Inputs!$A:$A,Summaries!$B164&amp;J$42,Inputs!$L:$L)</f>
        <v>11928</v>
      </c>
      <c r="K164" s="82">
        <f>SUMIF(Inputs!$A:$A,Summaries!$B164&amp;K$42,Inputs!$L:$L)</f>
        <v>11935</v>
      </c>
      <c r="L164" s="82">
        <f>SUMIF(Inputs!$A:$A,Summaries!$B164&amp;L$42,Inputs!$L:$L)</f>
        <v>11965</v>
      </c>
      <c r="M164" s="82">
        <f>SUMIF(Inputs!$A:$A,Summaries!$B164&amp;M$42,Inputs!$L:$L)</f>
        <v>11996</v>
      </c>
      <c r="N164" s="82">
        <f>SUMIF(Inputs!$A:$A,Summaries!$B164&amp;N$42,Inputs!$L:$L)</f>
        <v>12004</v>
      </c>
      <c r="O164" s="47"/>
      <c r="P164" s="47"/>
    </row>
    <row r="165" spans="2:16" x14ac:dyDescent="0.2">
      <c r="B165" s="75">
        <f t="shared" si="43"/>
        <v>2017</v>
      </c>
      <c r="C165" s="82">
        <f>SUMIF(Inputs!$A:$A,Summaries!$B165&amp;C$42,Inputs!$L:$L)</f>
        <v>12024</v>
      </c>
      <c r="D165" s="82">
        <f>SUMIF(Inputs!$A:$A,Summaries!$B165&amp;D$42,Inputs!$L:$L)</f>
        <v>12039</v>
      </c>
      <c r="E165" s="82">
        <f>SUMIF(Inputs!$A:$A,Summaries!$B165&amp;E$42,Inputs!$L:$L)</f>
        <v>12077</v>
      </c>
      <c r="F165" s="82">
        <f>SUMIF(Inputs!$A:$A,Summaries!$B165&amp;F$42,Inputs!$L:$L)</f>
        <v>12094</v>
      </c>
      <c r="G165" s="82">
        <f>SUMIF(Inputs!$A:$A,Summaries!$B165&amp;G$42,Inputs!$L:$L)</f>
        <v>12140</v>
      </c>
      <c r="H165" s="82">
        <f>SUMIF(Inputs!$A:$A,Summaries!$B165&amp;H$42,Inputs!$L:$L)</f>
        <v>12176</v>
      </c>
      <c r="I165" s="82">
        <f>SUMIF(Inputs!$A:$A,Summaries!$B165&amp;I$42,Inputs!$L:$L)</f>
        <v>12215</v>
      </c>
      <c r="J165" s="82">
        <f>SUMIF(Inputs!$A:$A,Summaries!$B165&amp;J$42,Inputs!$L:$L)</f>
        <v>12244</v>
      </c>
      <c r="K165" s="82">
        <f>SUMIF(Inputs!$A:$A,Summaries!$B165&amp;K$42,Inputs!$L:$L)</f>
        <v>12278</v>
      </c>
      <c r="L165" s="82">
        <f>SUMIF(Inputs!$A:$A,Summaries!$B165&amp;L$42,Inputs!$L:$L)</f>
        <v>12304</v>
      </c>
      <c r="M165" s="82">
        <f>SUMIF(Inputs!$A:$A,Summaries!$B165&amp;M$42,Inputs!$L:$L)</f>
        <v>12326</v>
      </c>
      <c r="N165" s="82">
        <f>SUMIF(Inputs!$A:$A,Summaries!$B165&amp;N$42,Inputs!$L:$L)</f>
        <v>12365</v>
      </c>
      <c r="O165" s="47"/>
      <c r="P165" s="47"/>
    </row>
    <row r="166" spans="2:16" x14ac:dyDescent="0.2">
      <c r="B166" s="75">
        <f t="shared" si="43"/>
        <v>2018</v>
      </c>
      <c r="C166" s="82">
        <f>SUMIF(Inputs!$A:$A,Summaries!$B166&amp;C$42,Inputs!$L:$L)</f>
        <v>12405</v>
      </c>
      <c r="D166" s="82">
        <f>SUMIF(Inputs!$A:$A,Summaries!$B166&amp;D$42,Inputs!$L:$L)</f>
        <v>12428</v>
      </c>
      <c r="E166" s="82">
        <f>SUMIF(Inputs!$A:$A,Summaries!$B166&amp;E$42,Inputs!$L:$L)</f>
        <v>12449</v>
      </c>
      <c r="F166" s="82">
        <f>SUMIF(Inputs!$A:$A,Summaries!$B166&amp;F$42,Inputs!$L:$L)</f>
        <v>12479</v>
      </c>
      <c r="G166" s="82">
        <f>SUMIF(Inputs!$A:$A,Summaries!$B166&amp;G$42,Inputs!$L:$L)</f>
        <v>12500</v>
      </c>
      <c r="H166" s="82">
        <f>SUMIF(Inputs!$A:$A,Summaries!$B166&amp;H$42,Inputs!$L:$L)</f>
        <v>12506</v>
      </c>
      <c r="I166" s="82">
        <f>SUMIF(Inputs!$A:$A,Summaries!$B166&amp;I$42,Inputs!$L:$L)</f>
        <v>12521</v>
      </c>
      <c r="J166" s="82">
        <f>SUMIF(Inputs!$A:$A,Summaries!$B166&amp;J$42,Inputs!$L:$L)</f>
        <v>12543</v>
      </c>
      <c r="K166" s="82">
        <f>SUMIF(Inputs!$A:$A,Summaries!$B166&amp;K$42,Inputs!$L:$L)</f>
        <v>12558</v>
      </c>
      <c r="L166" s="82">
        <f>SUMIF(Inputs!$A:$A,Summaries!$B166&amp;L$42,Inputs!$L:$L)</f>
        <v>12564</v>
      </c>
      <c r="M166" s="82">
        <f>SUMIF(Inputs!$A:$A,Summaries!$B166&amp;M$42,Inputs!$L:$L)</f>
        <v>12578</v>
      </c>
      <c r="N166" s="82">
        <f>SUMIF(Inputs!$A:$A,Summaries!$B166&amp;N$42,Inputs!$L:$L)</f>
        <v>12583</v>
      </c>
      <c r="O166" s="47"/>
      <c r="P166" s="47"/>
    </row>
    <row r="167" spans="2:16" x14ac:dyDescent="0.2">
      <c r="B167" s="75">
        <f t="shared" si="43"/>
        <v>2019</v>
      </c>
      <c r="C167" s="82">
        <f>SUMIF(Inputs!$A:$A,Summaries!$B167&amp;C$42,Inputs!$L:$L)</f>
        <v>12601</v>
      </c>
      <c r="D167" s="82">
        <f>SUMIF(Inputs!$A:$A,Summaries!$B167&amp;D$42,Inputs!$L:$L)</f>
        <v>12601</v>
      </c>
      <c r="E167" s="82">
        <f>SUMIF(Inputs!$A:$A,Summaries!$B167&amp;E$42,Inputs!$L:$L)</f>
        <v>12603</v>
      </c>
      <c r="F167" s="82">
        <f>SUMIF(Inputs!$A:$A,Summaries!$B167&amp;F$42,Inputs!$L:$L)</f>
        <v>12608</v>
      </c>
      <c r="G167" s="82">
        <f>SUMIF(Inputs!$A:$A,Summaries!$B167&amp;G$42,Inputs!$L:$L)</f>
        <v>12614</v>
      </c>
      <c r="H167" s="82">
        <f>SUMIF(Inputs!$A:$A,Summaries!$B167&amp;H$42,Inputs!$L:$L)</f>
        <v>12635</v>
      </c>
      <c r="I167" s="82">
        <f>SUMIF(Inputs!$A:$A,Summaries!$B167&amp;I$42,Inputs!$L:$L)</f>
        <v>12652</v>
      </c>
      <c r="J167" s="82">
        <f>SUMIF(Inputs!$A:$A,Summaries!$B167&amp;J$42,Inputs!$L:$L)</f>
        <v>12653</v>
      </c>
      <c r="K167" s="82">
        <f>SUMIF(Inputs!$A:$A,Summaries!$B167&amp;K$42,Inputs!$L:$L)</f>
        <v>12655</v>
      </c>
      <c r="L167" s="82">
        <f>SUMIF(Inputs!$A:$A,Summaries!$B167&amp;L$42,Inputs!$L:$L)</f>
        <v>12656</v>
      </c>
      <c r="M167" s="82">
        <f>SUMIF(Inputs!$A:$A,Summaries!$B167&amp;M$42,Inputs!$L:$L)</f>
        <v>12655</v>
      </c>
      <c r="N167" s="82">
        <f>SUMIF(Inputs!$A:$A,Summaries!$B167&amp;N$42,Inputs!$L:$L)</f>
        <v>12655</v>
      </c>
      <c r="O167" s="47"/>
      <c r="P167" s="47"/>
    </row>
    <row r="168" spans="2:16" x14ac:dyDescent="0.2">
      <c r="B168" s="75">
        <f t="shared" si="43"/>
        <v>2020</v>
      </c>
      <c r="C168" s="82">
        <f>SUMIF(Inputs!$A:$A,Summaries!$B168&amp;C$42,Inputs!$L:$L)</f>
        <v>12654</v>
      </c>
      <c r="D168" s="82">
        <f>SUMIF(Inputs!$A:$A,Summaries!$B168&amp;D$42,Inputs!$L:$L)</f>
        <v>12646</v>
      </c>
      <c r="E168" s="82">
        <f>SUMIF(Inputs!$A:$A,Summaries!$B168&amp;E$42,Inputs!$L:$L)</f>
        <v>12646</v>
      </c>
      <c r="F168" s="82">
        <f>SUMIF(Inputs!$A:$A,Summaries!$B168&amp;F$42,Inputs!$L:$L)</f>
        <v>12651</v>
      </c>
      <c r="G168" s="82">
        <f>SUMIF(Inputs!$A:$A,Summaries!$B168&amp;G$42,Inputs!$L:$L)</f>
        <v>12656</v>
      </c>
      <c r="H168" s="82">
        <f>SUMIF(Inputs!$A:$A,Summaries!$B168&amp;H$42,Inputs!$L:$L)</f>
        <v>12660</v>
      </c>
      <c r="I168" s="82">
        <f>SUMIF(Inputs!$A:$A,Summaries!$B168&amp;I$42,Inputs!$L:$L)</f>
        <v>12662</v>
      </c>
      <c r="J168" s="82">
        <f>SUMIF(Inputs!$A:$A,Summaries!$B168&amp;J$42,Inputs!$L:$L)</f>
        <v>12675</v>
      </c>
      <c r="K168" s="82">
        <f>SUMIF(Inputs!$A:$A,Summaries!$B168&amp;K$42,Inputs!$L:$L)</f>
        <v>12686</v>
      </c>
      <c r="L168" s="82">
        <f>SUMIF(Inputs!$A:$A,Summaries!$B168&amp;L$42,Inputs!$L:$L)</f>
        <v>12689</v>
      </c>
      <c r="M168" s="82">
        <f>SUMIF(Inputs!$A:$A,Summaries!$B168&amp;M$42,Inputs!$L:$L)</f>
        <v>12692</v>
      </c>
      <c r="N168" s="82">
        <f>SUMIF(Inputs!$A:$A,Summaries!$B168&amp;N$42,Inputs!$L:$L)</f>
        <v>12697</v>
      </c>
      <c r="O168" s="47"/>
      <c r="P168" s="47"/>
    </row>
    <row r="169" spans="2:16" x14ac:dyDescent="0.2">
      <c r="B169" s="75">
        <f t="shared" si="43"/>
        <v>2021</v>
      </c>
      <c r="C169" s="82">
        <f>SUMIF(Inputs!$A:$A,Summaries!$B169&amp;C$42,Inputs!$L:$L)</f>
        <v>12730</v>
      </c>
      <c r="D169" s="82">
        <f>SUMIF(Inputs!$A:$A,Summaries!$B169&amp;D$42,Inputs!$L:$L)</f>
        <v>12738</v>
      </c>
      <c r="E169" s="82">
        <f>SUMIF(Inputs!$A:$A,Summaries!$B169&amp;E$42,Inputs!$L:$L)</f>
        <v>12742</v>
      </c>
      <c r="F169" s="82">
        <f>SUMIF(Inputs!$A:$A,Summaries!$B169&amp;F$42,Inputs!$L:$L)</f>
        <v>12754</v>
      </c>
      <c r="G169" s="82">
        <f>SUMIF(Inputs!$A:$A,Summaries!$B169&amp;G$42,Inputs!$L:$L)</f>
        <v>12759</v>
      </c>
      <c r="H169" s="82">
        <f>SUMIF(Inputs!$A:$A,Summaries!$B169&amp;H$42,Inputs!$L:$L)</f>
        <v>12760</v>
      </c>
      <c r="I169" s="82">
        <f>SUMIF(Inputs!$A:$A,Summaries!$B169&amp;I$42,Inputs!$L:$L)</f>
        <v>12772</v>
      </c>
      <c r="J169" s="82">
        <f>SUMIF(Inputs!$A:$A,Summaries!$B169&amp;J$42,Inputs!$L:$L)</f>
        <v>12771</v>
      </c>
      <c r="K169" s="82">
        <f>SUMIF(Inputs!$A:$A,Summaries!$B169&amp;K$42,Inputs!$L:$L)</f>
        <v>12780</v>
      </c>
      <c r="L169" s="82">
        <f>SUMIF(Inputs!$A:$A,Summaries!$B169&amp;L$42,Inputs!$L:$L)</f>
        <v>12780</v>
      </c>
      <c r="M169" s="82">
        <f>SUMIF(Inputs!$A:$A,Summaries!$B169&amp;M$42,Inputs!$L:$L)</f>
        <v>12776</v>
      </c>
      <c r="N169" s="82">
        <f>SUMIF(Inputs!$A:$A,Summaries!$B169&amp;N$42,Inputs!$L:$L)</f>
        <v>12774</v>
      </c>
      <c r="O169" s="47"/>
      <c r="P169" s="47"/>
    </row>
    <row r="170" spans="2:16" x14ac:dyDescent="0.2">
      <c r="B170" s="75">
        <f t="shared" si="43"/>
        <v>2022</v>
      </c>
      <c r="C170" s="82">
        <f>SUMIF(Inputs!$A:$A,Summaries!$B170&amp;C$42,Inputs!$L:$L)</f>
        <v>12781</v>
      </c>
      <c r="D170" s="82">
        <f>SUMIF(Inputs!$A:$A,Summaries!$B170&amp;D$42,Inputs!$L:$L)</f>
        <v>12784</v>
      </c>
      <c r="E170" s="82">
        <f>SUMIF(Inputs!$A:$A,Summaries!$B170&amp;E$42,Inputs!$L:$L)</f>
        <v>12795</v>
      </c>
      <c r="F170" s="82">
        <f>SUMIF(Inputs!$A:$A,Summaries!$B170&amp;F$42,Inputs!$L:$L)</f>
        <v>12798</v>
      </c>
      <c r="G170" s="82">
        <f>SUMIF(Inputs!$A:$A,Summaries!$B170&amp;G$42,Inputs!$L:$L)</f>
        <v>12809</v>
      </c>
      <c r="H170" s="82">
        <f>SUMIF(Inputs!$A:$A,Summaries!$B170&amp;H$42,Inputs!$L:$L)</f>
        <v>12821</v>
      </c>
      <c r="I170" s="82">
        <f>SUMIF(Inputs!$A:$A,Summaries!$B170&amp;I$42,Inputs!$L:$L)</f>
        <v>12828</v>
      </c>
      <c r="J170" s="82">
        <f>SUMIF(Inputs!$A:$A,Summaries!$B170&amp;J$42,Inputs!$L:$L)</f>
        <v>12835</v>
      </c>
      <c r="K170" s="82">
        <f>SUMIF(Inputs!$A:$A,Summaries!$B170&amp;K$42,Inputs!$L:$L)</f>
        <v>12839</v>
      </c>
      <c r="L170" s="82">
        <f>SUMIF(Inputs!$A:$A,Summaries!$B170&amp;L$42,Inputs!$L:$L)</f>
        <v>12844</v>
      </c>
      <c r="M170" s="82">
        <f>SUMIF(Inputs!$A:$A,Summaries!$B170&amp;M$42,Inputs!$L:$L)</f>
        <v>12842</v>
      </c>
      <c r="N170" s="82">
        <f>SUMIF(Inputs!$A:$A,Summaries!$B170&amp;N$42,Inputs!$L:$L)</f>
        <v>12846</v>
      </c>
      <c r="O170" s="47"/>
      <c r="P170" s="47"/>
    </row>
    <row r="171" spans="2:16" x14ac:dyDescent="0.2">
      <c r="B171" s="84" t="s">
        <v>99</v>
      </c>
      <c r="C171" s="88">
        <f>AVERAGE(C161:C170)</f>
        <v>12252.555555555555</v>
      </c>
      <c r="D171" s="88">
        <f t="shared" ref="D171:N171" si="44">AVERAGE(D161:D170)</f>
        <v>12262.444444444445</v>
      </c>
      <c r="E171" s="88">
        <f t="shared" si="44"/>
        <v>12274.777777777777</v>
      </c>
      <c r="F171" s="88">
        <f t="shared" si="44"/>
        <v>12285.777777777777</v>
      </c>
      <c r="G171" s="88">
        <f t="shared" si="44"/>
        <v>12301.555555555555</v>
      </c>
      <c r="H171" s="88">
        <f t="shared" si="44"/>
        <v>12312.555555555555</v>
      </c>
      <c r="I171" s="88">
        <f t="shared" si="44"/>
        <v>12327.555555555555</v>
      </c>
      <c r="J171" s="88">
        <f t="shared" si="44"/>
        <v>12342.111111111111</v>
      </c>
      <c r="K171" s="88">
        <f t="shared" si="44"/>
        <v>12354</v>
      </c>
      <c r="L171" s="88">
        <f t="shared" si="44"/>
        <v>12364.222222222223</v>
      </c>
      <c r="M171" s="88">
        <f t="shared" si="44"/>
        <v>12373.888888888889</v>
      </c>
      <c r="N171" s="88">
        <f t="shared" si="44"/>
        <v>12383.222222222223</v>
      </c>
      <c r="O171" s="47"/>
      <c r="P171" s="47"/>
    </row>
    <row r="172" spans="2:16" x14ac:dyDescent="0.2">
      <c r="B172" s="74"/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47"/>
      <c r="P172" s="47"/>
    </row>
    <row r="173" spans="2:16" x14ac:dyDescent="0.2">
      <c r="B173" s="74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47"/>
      <c r="P173" s="47"/>
    </row>
    <row r="174" spans="2:16" ht="24" customHeight="1" x14ac:dyDescent="0.2">
      <c r="B174" s="76" t="s">
        <v>94</v>
      </c>
      <c r="C174" s="76" t="s">
        <v>83</v>
      </c>
      <c r="D174" s="76" t="s">
        <v>84</v>
      </c>
      <c r="E174" s="76" t="s">
        <v>85</v>
      </c>
      <c r="F174" s="76" t="s">
        <v>86</v>
      </c>
      <c r="G174" s="76" t="s">
        <v>60</v>
      </c>
      <c r="H174" s="76" t="s">
        <v>87</v>
      </c>
      <c r="I174" s="76" t="s">
        <v>88</v>
      </c>
      <c r="J174" s="76" t="s">
        <v>89</v>
      </c>
      <c r="K174" s="76" t="s">
        <v>90</v>
      </c>
      <c r="L174" s="76" t="s">
        <v>91</v>
      </c>
      <c r="M174" s="76" t="s">
        <v>92</v>
      </c>
      <c r="N174" s="76" t="s">
        <v>93</v>
      </c>
      <c r="O174" s="47"/>
      <c r="P174" s="47"/>
    </row>
    <row r="175" spans="2:16" x14ac:dyDescent="0.2">
      <c r="B175" s="75">
        <f t="shared" ref="B175:B184" si="45">+B116</f>
        <v>2013</v>
      </c>
      <c r="C175" s="82">
        <f>SUMIF(Inputs!$A:$A,Summaries!$B175&amp;C$42,Inputs!$O:$O)</f>
        <v>144.98936781896037</v>
      </c>
      <c r="D175" s="82">
        <f>SUMIF(Inputs!$A:$A,Summaries!$B175&amp;D$42,Inputs!$O:$O)</f>
        <v>145.14551144798114</v>
      </c>
      <c r="E175" s="82">
        <f>SUMIF(Inputs!$A:$A,Summaries!$B175&amp;E$42,Inputs!$O:$O)</f>
        <v>145.30182323300707</v>
      </c>
      <c r="F175" s="82">
        <f>SUMIF(Inputs!$A:$A,Summaries!$B175&amp;F$42,Inputs!$O:$O)</f>
        <v>145.45830335513068</v>
      </c>
      <c r="G175" s="82">
        <f>SUMIF(Inputs!$A:$A,Summaries!$B175&amp;G$42,Inputs!$O:$O)</f>
        <v>145.6149519956395</v>
      </c>
      <c r="H175" s="82">
        <f>SUMIF(Inputs!$A:$A,Summaries!$B175&amp;H$42,Inputs!$O:$O)</f>
        <v>145.77176933601632</v>
      </c>
      <c r="I175" s="82">
        <f>SUMIF(Inputs!$A:$A,Summaries!$B175&amp;I$42,Inputs!$O:$O)</f>
        <v>145.92875555793933</v>
      </c>
      <c r="J175" s="82">
        <f>SUMIF(Inputs!$A:$A,Summaries!$B175&amp;J$42,Inputs!$O:$O)</f>
        <v>146.08591084328242</v>
      </c>
      <c r="K175" s="82">
        <f>SUMIF(Inputs!$A:$A,Summaries!$B175&amp;K$42,Inputs!$O:$O)</f>
        <v>146.2432353741153</v>
      </c>
      <c r="L175" s="82">
        <f>SUMIF(Inputs!$A:$A,Summaries!$B175&amp;L$42,Inputs!$O:$O)</f>
        <v>146.4007293327038</v>
      </c>
      <c r="M175" s="82">
        <f>SUMIF(Inputs!$A:$A,Summaries!$B175&amp;M$42,Inputs!$O:$O)</f>
        <v>146.55839290151005</v>
      </c>
      <c r="N175" s="82">
        <f>SUMIF(Inputs!$A:$A,Summaries!$B175&amp;N$42,Inputs!$O:$O)</f>
        <v>146.71622626319265</v>
      </c>
      <c r="O175" s="47"/>
      <c r="P175" s="47"/>
    </row>
    <row r="176" spans="2:16" x14ac:dyDescent="0.2">
      <c r="B176" s="75">
        <f t="shared" si="45"/>
        <v>2014</v>
      </c>
      <c r="C176" s="82">
        <f>SUMIF(Inputs!$A:$A,Summaries!$B176&amp;C$42,Inputs!$O:$O)</f>
        <v>147.04232175221028</v>
      </c>
      <c r="D176" s="82">
        <f>SUMIF(Inputs!$A:$A,Summaries!$B176&amp;D$42,Inputs!$O:$O)</f>
        <v>147.36914202996238</v>
      </c>
      <c r="E176" s="82">
        <f>SUMIF(Inputs!$A:$A,Summaries!$B176&amp;E$42,Inputs!$O:$O)</f>
        <v>147.69668870738414</v>
      </c>
      <c r="F176" s="82">
        <f>SUMIF(Inputs!$A:$A,Summaries!$B176&amp;F$42,Inputs!$O:$O)</f>
        <v>148.02496339899133</v>
      </c>
      <c r="G176" s="82">
        <f>SUMIF(Inputs!$A:$A,Summaries!$B176&amp;G$42,Inputs!$O:$O)</f>
        <v>148.35396772288814</v>
      </c>
      <c r="H176" s="82">
        <f>SUMIF(Inputs!$A:$A,Summaries!$B176&amp;H$42,Inputs!$O:$O)</f>
        <v>148.68370330077519</v>
      </c>
      <c r="I176" s="82">
        <f>SUMIF(Inputs!$A:$A,Summaries!$B176&amp;I$42,Inputs!$O:$O)</f>
        <v>149.0141717579576</v>
      </c>
      <c r="J176" s="82">
        <f>SUMIF(Inputs!$A:$A,Summaries!$B176&amp;J$42,Inputs!$O:$O)</f>
        <v>149.34537472335285</v>
      </c>
      <c r="K176" s="82">
        <f>SUMIF(Inputs!$A:$A,Summaries!$B176&amp;K$42,Inputs!$O:$O)</f>
        <v>149.67731382949896</v>
      </c>
      <c r="L176" s="82">
        <f>SUMIF(Inputs!$A:$A,Summaries!$B176&amp;L$42,Inputs!$O:$O)</f>
        <v>150.00999071256246</v>
      </c>
      <c r="M176" s="82">
        <f>SUMIF(Inputs!$A:$A,Summaries!$B176&amp;M$42,Inputs!$O:$O)</f>
        <v>150.34340701234646</v>
      </c>
      <c r="N176" s="82">
        <f>SUMIF(Inputs!$A:$A,Summaries!$B176&amp;N$42,Inputs!$O:$O)</f>
        <v>150.67756437229883</v>
      </c>
      <c r="O176" s="47"/>
      <c r="P176" s="47"/>
    </row>
    <row r="177" spans="2:22" x14ac:dyDescent="0.2">
      <c r="B177" s="75">
        <f t="shared" si="45"/>
        <v>2015</v>
      </c>
      <c r="C177" s="82">
        <f>SUMIF(Inputs!$A:$A,Summaries!$B177&amp;C$42,Inputs!$O:$O)</f>
        <v>150.98793548444445</v>
      </c>
      <c r="D177" s="82">
        <f>SUMIF(Inputs!$A:$A,Summaries!$B177&amp;D$42,Inputs!$O:$O)</f>
        <v>151.298945910264</v>
      </c>
      <c r="E177" s="82">
        <f>SUMIF(Inputs!$A:$A,Summaries!$B177&amp;E$42,Inputs!$O:$O)</f>
        <v>151.61059696663892</v>
      </c>
      <c r="F177" s="82">
        <f>SUMIF(Inputs!$A:$A,Summaries!$B177&amp;F$42,Inputs!$O:$O)</f>
        <v>151.92288997316331</v>
      </c>
      <c r="G177" s="82">
        <f>SUMIF(Inputs!$A:$A,Summaries!$B177&amp;G$42,Inputs!$O:$O)</f>
        <v>152.23582625214937</v>
      </c>
      <c r="H177" s="82">
        <f>SUMIF(Inputs!$A:$A,Summaries!$B177&amp;H$42,Inputs!$O:$O)</f>
        <v>152.54940712863302</v>
      </c>
      <c r="I177" s="82">
        <f>SUMIF(Inputs!$A:$A,Summaries!$B177&amp;I$42,Inputs!$O:$O)</f>
        <v>152.86363393037959</v>
      </c>
      <c r="J177" s="82">
        <f>SUMIF(Inputs!$A:$A,Summaries!$B177&amp;J$42,Inputs!$O:$O)</f>
        <v>153.17850798788936</v>
      </c>
      <c r="K177" s="82">
        <f>SUMIF(Inputs!$A:$A,Summaries!$B177&amp;K$42,Inputs!$O:$O)</f>
        <v>153.4940306344032</v>
      </c>
      <c r="L177" s="82">
        <f>SUMIF(Inputs!$A:$A,Summaries!$B177&amp;L$42,Inputs!$O:$O)</f>
        <v>153.81020320590829</v>
      </c>
      <c r="M177" s="82">
        <f>SUMIF(Inputs!$A:$A,Summaries!$B177&amp;M$42,Inputs!$O:$O)</f>
        <v>154.12702704114372</v>
      </c>
      <c r="N177" s="82">
        <f>SUMIF(Inputs!$A:$A,Summaries!$B177&amp;N$42,Inputs!$O:$O)</f>
        <v>154.44450348160629</v>
      </c>
      <c r="O177" s="47"/>
      <c r="P177" s="47"/>
    </row>
    <row r="178" spans="2:22" x14ac:dyDescent="0.2">
      <c r="B178" s="75">
        <f t="shared" si="45"/>
        <v>2016</v>
      </c>
      <c r="C178" s="82">
        <f>SUMIF(Inputs!$A:$A,Summaries!$B178&amp;C$42,Inputs!$O:$O)</f>
        <v>154.72483615659849</v>
      </c>
      <c r="D178" s="82">
        <f>SUMIF(Inputs!$A:$A,Summaries!$B178&amp;D$42,Inputs!$O:$O)</f>
        <v>155.00567766425806</v>
      </c>
      <c r="E178" s="82">
        <f>SUMIF(Inputs!$A:$A,Summaries!$B178&amp;E$42,Inputs!$O:$O)</f>
        <v>155.2870289281687</v>
      </c>
      <c r="F178" s="82">
        <f>SUMIF(Inputs!$A:$A,Summaries!$B178&amp;F$42,Inputs!$O:$O)</f>
        <v>155.56889087359048</v>
      </c>
      <c r="G178" s="82">
        <f>SUMIF(Inputs!$A:$A,Summaries!$B178&amp;G$42,Inputs!$O:$O)</f>
        <v>155.85126442746289</v>
      </c>
      <c r="H178" s="82">
        <f>SUMIF(Inputs!$A:$A,Summaries!$B178&amp;H$42,Inputs!$O:$O)</f>
        <v>156.13415051840798</v>
      </c>
      <c r="I178" s="82">
        <f>SUMIF(Inputs!$A:$A,Summaries!$B178&amp;I$42,Inputs!$O:$O)</f>
        <v>156.41755007673331</v>
      </c>
      <c r="J178" s="82">
        <f>SUMIF(Inputs!$A:$A,Summaries!$B178&amp;J$42,Inputs!$O:$O)</f>
        <v>156.70146403443502</v>
      </c>
      <c r="K178" s="82">
        <f>SUMIF(Inputs!$A:$A,Summaries!$B178&amp;K$42,Inputs!$O:$O)</f>
        <v>156.98589332520095</v>
      </c>
      <c r="L178" s="82">
        <f>SUMIF(Inputs!$A:$A,Summaries!$B178&amp;L$42,Inputs!$O:$O)</f>
        <v>157.27083888441365</v>
      </c>
      <c r="M178" s="82">
        <f>SUMIF(Inputs!$A:$A,Summaries!$B178&amp;M$42,Inputs!$O:$O)</f>
        <v>157.55630164915351</v>
      </c>
      <c r="N178" s="82">
        <f>SUMIF(Inputs!$A:$A,Summaries!$B178&amp;N$42,Inputs!$O:$O)</f>
        <v>157.84228255820162</v>
      </c>
      <c r="O178" s="47"/>
      <c r="P178" s="47"/>
    </row>
    <row r="179" spans="2:22" x14ac:dyDescent="0.2">
      <c r="B179" s="75">
        <f t="shared" si="45"/>
        <v>2017</v>
      </c>
      <c r="C179" s="82">
        <f>SUMIF(Inputs!$A:$A,Summaries!$B179&amp;C$42,Inputs!$O:$O)</f>
        <v>158.15454692394951</v>
      </c>
      <c r="D179" s="82">
        <f>SUMIF(Inputs!$A:$A,Summaries!$B179&amp;D$42,Inputs!$O:$O)</f>
        <v>158.46742905214063</v>
      </c>
      <c r="E179" s="82">
        <f>SUMIF(Inputs!$A:$A,Summaries!$B179&amp;E$42,Inputs!$O:$O)</f>
        <v>158.78093016491388</v>
      </c>
      <c r="F179" s="82">
        <f>SUMIF(Inputs!$A:$A,Summaries!$B179&amp;F$42,Inputs!$O:$O)</f>
        <v>159.09505148682601</v>
      </c>
      <c r="G179" s="82">
        <f>SUMIF(Inputs!$A:$A,Summaries!$B179&amp;G$42,Inputs!$O:$O)</f>
        <v>159.4097942448563</v>
      </c>
      <c r="H179" s="82">
        <f>SUMIF(Inputs!$A:$A,Summaries!$B179&amp;H$42,Inputs!$O:$O)</f>
        <v>159.72515966841141</v>
      </c>
      <c r="I179" s="82">
        <f>SUMIF(Inputs!$A:$A,Summaries!$B179&amp;I$42,Inputs!$O:$O)</f>
        <v>160.0411489893302</v>
      </c>
      <c r="J179" s="82">
        <f>SUMIF(Inputs!$A:$A,Summaries!$B179&amp;J$42,Inputs!$O:$O)</f>
        <v>160.35776344188849</v>
      </c>
      <c r="K179" s="82">
        <f>SUMIF(Inputs!$A:$A,Summaries!$B179&amp;K$42,Inputs!$O:$O)</f>
        <v>160.67500426280395</v>
      </c>
      <c r="L179" s="82">
        <f>SUMIF(Inputs!$A:$A,Summaries!$B179&amp;L$42,Inputs!$O:$O)</f>
        <v>160.99287269124085</v>
      </c>
      <c r="M179" s="82">
        <f>SUMIF(Inputs!$A:$A,Summaries!$B179&amp;M$42,Inputs!$O:$O)</f>
        <v>161.31136996881492</v>
      </c>
      <c r="N179" s="82">
        <f>SUMIF(Inputs!$A:$A,Summaries!$B179&amp;N$42,Inputs!$O:$O)</f>
        <v>161.63049733959846</v>
      </c>
      <c r="O179" s="47"/>
      <c r="P179" s="47"/>
    </row>
    <row r="180" spans="2:22" x14ac:dyDescent="0.2">
      <c r="B180" s="75">
        <f t="shared" si="45"/>
        <v>2018</v>
      </c>
      <c r="C180" s="82">
        <f>SUMIF(Inputs!$A:$A,Summaries!$B180&amp;C$42,Inputs!$O:$O)</f>
        <v>161.9238733332927</v>
      </c>
      <c r="D180" s="82">
        <f>SUMIF(Inputs!$A:$A,Summaries!$B180&amp;D$42,Inputs!$O:$O)</f>
        <v>162.21778183462067</v>
      </c>
      <c r="E180" s="82">
        <f>SUMIF(Inputs!$A:$A,Summaries!$B180&amp;E$42,Inputs!$O:$O)</f>
        <v>162.51222381013852</v>
      </c>
      <c r="F180" s="82">
        <f>SUMIF(Inputs!$A:$A,Summaries!$B180&amp;F$42,Inputs!$O:$O)</f>
        <v>162.80720022815689</v>
      </c>
      <c r="G180" s="82">
        <f>SUMIF(Inputs!$A:$A,Summaries!$B180&amp;G$42,Inputs!$O:$O)</f>
        <v>163.10271205874389</v>
      </c>
      <c r="H180" s="82">
        <f>SUMIF(Inputs!$A:$A,Summaries!$B180&amp;H$42,Inputs!$O:$O)</f>
        <v>163.39876027372847</v>
      </c>
      <c r="I180" s="82">
        <f>SUMIF(Inputs!$A:$A,Summaries!$B180&amp;I$42,Inputs!$O:$O)</f>
        <v>163.69534584670356</v>
      </c>
      <c r="J180" s="82">
        <f>SUMIF(Inputs!$A:$A,Summaries!$B180&amp;J$42,Inputs!$O:$O)</f>
        <v>163.99246975302921</v>
      </c>
      <c r="K180" s="82">
        <f>SUMIF(Inputs!$A:$A,Summaries!$B180&amp;K$42,Inputs!$O:$O)</f>
        <v>164.29013296983589</v>
      </c>
      <c r="L180" s="82">
        <f>SUMIF(Inputs!$A:$A,Summaries!$B180&amp;L$42,Inputs!$O:$O)</f>
        <v>164.58833647602765</v>
      </c>
      <c r="M180" s="82">
        <f>SUMIF(Inputs!$A:$A,Summaries!$B180&amp;M$42,Inputs!$O:$O)</f>
        <v>164.88708125228533</v>
      </c>
      <c r="N180" s="82">
        <f>SUMIF(Inputs!$A:$A,Summaries!$B180&amp;N$42,Inputs!$O:$O)</f>
        <v>165.18636828106963</v>
      </c>
      <c r="O180" s="47"/>
      <c r="P180" s="47"/>
    </row>
    <row r="181" spans="2:22" x14ac:dyDescent="0.2">
      <c r="B181" s="75">
        <f t="shared" si="45"/>
        <v>2019</v>
      </c>
      <c r="C181" s="82">
        <f>SUMIF(Inputs!$A:$A,Summaries!$B181&amp;C$42,Inputs!$O:$O)</f>
        <v>165.45918699825475</v>
      </c>
      <c r="D181" s="82">
        <f>SUMIF(Inputs!$A:$A,Summaries!$B181&amp;D$42,Inputs!$O:$O)</f>
        <v>165.732456297732</v>
      </c>
      <c r="E181" s="82">
        <f>SUMIF(Inputs!$A:$A,Summaries!$B181&amp;E$42,Inputs!$O:$O)</f>
        <v>166.00617692367464</v>
      </c>
      <c r="F181" s="82">
        <f>SUMIF(Inputs!$A:$A,Summaries!$B181&amp;F$42,Inputs!$O:$O)</f>
        <v>166.28034962148504</v>
      </c>
      <c r="G181" s="82">
        <f>SUMIF(Inputs!$A:$A,Summaries!$B181&amp;G$42,Inputs!$O:$O)</f>
        <v>166.55497513779665</v>
      </c>
      <c r="H181" s="82">
        <f>SUMIF(Inputs!$A:$A,Summaries!$B181&amp;H$42,Inputs!$O:$O)</f>
        <v>166.83005422047603</v>
      </c>
      <c r="I181" s="82">
        <f>SUMIF(Inputs!$A:$A,Summaries!$B181&amp;I$42,Inputs!$O:$O)</f>
        <v>167.1055876186249</v>
      </c>
      <c r="J181" s="82">
        <f>SUMIF(Inputs!$A:$A,Summaries!$B181&amp;J$42,Inputs!$O:$O)</f>
        <v>167.3815760825822</v>
      </c>
      <c r="K181" s="82">
        <f>SUMIF(Inputs!$A:$A,Summaries!$B181&amp;K$42,Inputs!$O:$O)</f>
        <v>167.65802036392614</v>
      </c>
      <c r="L181" s="82">
        <f>SUMIF(Inputs!$A:$A,Summaries!$B181&amp;L$42,Inputs!$O:$O)</f>
        <v>167.93492121547615</v>
      </c>
      <c r="M181" s="82">
        <f>SUMIF(Inputs!$A:$A,Summaries!$B181&amp;M$42,Inputs!$O:$O)</f>
        <v>168.21227939129508</v>
      </c>
      <c r="N181" s="82">
        <f>SUMIF(Inputs!$A:$A,Summaries!$B181&amp;N$42,Inputs!$O:$O)</f>
        <v>168.49009564669103</v>
      </c>
      <c r="O181" s="47"/>
      <c r="P181" s="47"/>
    </row>
    <row r="182" spans="2:22" x14ac:dyDescent="0.2">
      <c r="B182" s="75">
        <f t="shared" si="45"/>
        <v>2020</v>
      </c>
      <c r="C182" s="82">
        <f>SUMIF(Inputs!$A:$A,Summaries!$B182&amp;C$42,Inputs!$O:$O)</f>
        <v>167.7567077806583</v>
      </c>
      <c r="D182" s="82">
        <f>SUMIF(Inputs!$A:$A,Summaries!$B182&amp;D$42,Inputs!$O:$O)</f>
        <v>167.02651213645905</v>
      </c>
      <c r="E182" s="82">
        <f>SUMIF(Inputs!$A:$A,Summaries!$B182&amp;E$42,Inputs!$O:$O)</f>
        <v>166.29949481928981</v>
      </c>
      <c r="F182" s="82">
        <f>SUMIF(Inputs!$A:$A,Summaries!$B182&amp;F$42,Inputs!$O:$O)</f>
        <v>165.57564199482715</v>
      </c>
      <c r="G182" s="82">
        <f>SUMIF(Inputs!$A:$A,Summaries!$B182&amp;G$42,Inputs!$O:$O)</f>
        <v>164.85493988896442</v>
      </c>
      <c r="H182" s="82">
        <f>SUMIF(Inputs!$A:$A,Summaries!$B182&amp;H$42,Inputs!$O:$O)</f>
        <v>164.13737478754956</v>
      </c>
      <c r="I182" s="82">
        <f>SUMIF(Inputs!$A:$A,Summaries!$B182&amp;I$42,Inputs!$O:$O)</f>
        <v>163.42293303612416</v>
      </c>
      <c r="J182" s="82">
        <f>SUMIF(Inputs!$A:$A,Summaries!$B182&amp;J$42,Inputs!$O:$O)</f>
        <v>162.71160103966372</v>
      </c>
      <c r="K182" s="82">
        <f>SUMIF(Inputs!$A:$A,Summaries!$B182&amp;K$42,Inputs!$O:$O)</f>
        <v>162.00336526231885</v>
      </c>
      <c r="L182" s="82">
        <f>SUMIF(Inputs!$A:$A,Summaries!$B182&amp;L$42,Inputs!$O:$O)</f>
        <v>161.29821222715773</v>
      </c>
      <c r="M182" s="82">
        <f>SUMIF(Inputs!$A:$A,Summaries!$B182&amp;M$42,Inputs!$O:$O)</f>
        <v>160.59612851590967</v>
      </c>
      <c r="N182" s="82">
        <f>SUMIF(Inputs!$A:$A,Summaries!$B182&amp;N$42,Inputs!$O:$O)</f>
        <v>159.89710076870981</v>
      </c>
      <c r="O182" s="47"/>
      <c r="P182" s="47"/>
    </row>
    <row r="183" spans="2:22" x14ac:dyDescent="0.2">
      <c r="B183" s="75">
        <f t="shared" si="45"/>
        <v>2021</v>
      </c>
      <c r="C183" s="82">
        <f>SUMIF(Inputs!$A:$A,Summaries!$B183&amp;C$42,Inputs!$O:$O)</f>
        <v>160.45907401322623</v>
      </c>
      <c r="D183" s="82">
        <f>SUMIF(Inputs!$A:$A,Summaries!$B183&amp;D$42,Inputs!$O:$O)</f>
        <v>161.02302236502123</v>
      </c>
      <c r="E183" s="82">
        <f>SUMIF(Inputs!$A:$A,Summaries!$B183&amp;E$42,Inputs!$O:$O)</f>
        <v>161.58895276579321</v>
      </c>
      <c r="F183" s="82">
        <f>SUMIF(Inputs!$A:$A,Summaries!$B183&amp;F$42,Inputs!$O:$O)</f>
        <v>162.15687218163777</v>
      </c>
      <c r="G183" s="82">
        <f>SUMIF(Inputs!$A:$A,Summaries!$B183&amp;G$42,Inputs!$O:$O)</f>
        <v>162.72678760313354</v>
      </c>
      <c r="H183" s="82">
        <f>SUMIF(Inputs!$A:$A,Summaries!$B183&amp;H$42,Inputs!$O:$O)</f>
        <v>163.29870604542819</v>
      </c>
      <c r="I183" s="82">
        <f>SUMIF(Inputs!$A:$A,Summaries!$B183&amp;I$42,Inputs!$O:$O)</f>
        <v>163.87263454832475</v>
      </c>
      <c r="J183" s="82">
        <f>SUMIF(Inputs!$A:$A,Summaries!$B183&amp;J$42,Inputs!$O:$O)</f>
        <v>164.4485801763683</v>
      </c>
      <c r="K183" s="82">
        <f>SUMIF(Inputs!$A:$A,Summaries!$B183&amp;K$42,Inputs!$O:$O)</f>
        <v>165.02655001893294</v>
      </c>
      <c r="L183" s="82">
        <f>SUMIF(Inputs!$A:$A,Summaries!$B183&amp;L$42,Inputs!$O:$O)</f>
        <v>165.60655119030903</v>
      </c>
      <c r="M183" s="82">
        <f>SUMIF(Inputs!$A:$A,Summaries!$B183&amp;M$42,Inputs!$O:$O)</f>
        <v>166.18859082979077</v>
      </c>
      <c r="N183" s="82">
        <f>SUMIF(Inputs!$A:$A,Summaries!$B183&amp;N$42,Inputs!$O:$O)</f>
        <v>166.77267610176432</v>
      </c>
      <c r="O183" s="47"/>
      <c r="P183" s="47"/>
    </row>
    <row r="184" spans="2:22" x14ac:dyDescent="0.2">
      <c r="B184" s="75">
        <f t="shared" si="45"/>
        <v>2022</v>
      </c>
      <c r="C184" s="82">
        <f>SUMIF(Inputs!$A:$A,Summaries!$B184&amp;C$42,Inputs!$O:$O)</f>
        <v>167.12978112022378</v>
      </c>
      <c r="D184" s="82">
        <f>SUMIF(Inputs!$A:$A,Summaries!$B184&amp;D$42,Inputs!$O:$O)</f>
        <v>167.48765079628296</v>
      </c>
      <c r="E184" s="82">
        <f>SUMIF(Inputs!$A:$A,Summaries!$B184&amp;E$42,Inputs!$O:$O)</f>
        <v>167.84628676727883</v>
      </c>
      <c r="F184" s="82">
        <f>SUMIF(Inputs!$A:$A,Summaries!$B184&amp;F$42,Inputs!$O:$O)</f>
        <v>168.20569067405432</v>
      </c>
      <c r="G184" s="82">
        <f>SUMIF(Inputs!$A:$A,Summaries!$B184&amp;G$42,Inputs!$O:$O)</f>
        <v>168.56586416096587</v>
      </c>
      <c r="H184" s="82">
        <f>SUMIF(Inputs!$A:$A,Summaries!$B184&amp;H$42,Inputs!$O:$O)</f>
        <v>168.92680887589088</v>
      </c>
      <c r="I184" s="82">
        <f>SUMIF(Inputs!$A:$A,Summaries!$B184&amp;I$42,Inputs!$O:$O)</f>
        <v>169.28852647023535</v>
      </c>
      <c r="J184" s="82">
        <f>SUMIF(Inputs!$A:$A,Summaries!$B184&amp;J$42,Inputs!$O:$O)</f>
        <v>169.65101859894136</v>
      </c>
      <c r="K184" s="82">
        <f>SUMIF(Inputs!$A:$A,Summaries!$B184&amp;K$42,Inputs!$O:$O)</f>
        <v>170.01428692049467</v>
      </c>
      <c r="L184" s="82">
        <f>SUMIF(Inputs!$A:$A,Summaries!$B184&amp;L$42,Inputs!$O:$O)</f>
        <v>170.37833309693227</v>
      </c>
      <c r="M184" s="82">
        <f>SUMIF(Inputs!$A:$A,Summaries!$B184&amp;M$42,Inputs!$O:$O)</f>
        <v>170.74315879385006</v>
      </c>
      <c r="N184" s="82">
        <f>SUMIF(Inputs!$A:$A,Summaries!$B184&amp;N$42,Inputs!$O:$O)</f>
        <v>171.10876568041019</v>
      </c>
      <c r="O184" s="77"/>
      <c r="P184" s="47"/>
    </row>
    <row r="185" spans="2:22" x14ac:dyDescent="0.2">
      <c r="B185" s="74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7"/>
      <c r="P185" s="47"/>
    </row>
    <row r="186" spans="2:22" ht="25.5" x14ac:dyDescent="0.2">
      <c r="B186" s="76" t="s">
        <v>145</v>
      </c>
      <c r="C186" s="76" t="s">
        <v>83</v>
      </c>
      <c r="D186" s="76" t="s">
        <v>84</v>
      </c>
      <c r="E186" s="76" t="s">
        <v>85</v>
      </c>
      <c r="F186" s="76" t="s">
        <v>86</v>
      </c>
      <c r="G186" s="76" t="s">
        <v>60</v>
      </c>
      <c r="H186" s="76" t="s">
        <v>87</v>
      </c>
      <c r="I186" s="76" t="s">
        <v>88</v>
      </c>
      <c r="J186" s="76" t="s">
        <v>89</v>
      </c>
      <c r="K186" s="76" t="s">
        <v>90</v>
      </c>
      <c r="L186" s="76" t="s">
        <v>91</v>
      </c>
      <c r="M186" s="76" t="s">
        <v>92</v>
      </c>
      <c r="N186" s="76" t="s">
        <v>93</v>
      </c>
      <c r="O186" s="77"/>
      <c r="P186" s="76" t="s">
        <v>111</v>
      </c>
      <c r="Q186" s="76" t="s">
        <v>139</v>
      </c>
      <c r="R186" s="76" t="s">
        <v>126</v>
      </c>
      <c r="S186" s="76" t="s">
        <v>140</v>
      </c>
      <c r="T186" s="76" t="s">
        <v>126</v>
      </c>
      <c r="U186" s="102" t="s">
        <v>141</v>
      </c>
      <c r="V186" t="s">
        <v>142</v>
      </c>
    </row>
    <row r="187" spans="2:22" x14ac:dyDescent="0.2">
      <c r="B187" s="75">
        <f>+B175</f>
        <v>2013</v>
      </c>
      <c r="C187" s="82">
        <v>0</v>
      </c>
      <c r="D187" s="82">
        <v>0</v>
      </c>
      <c r="E187" s="82">
        <v>0</v>
      </c>
      <c r="F187" s="82">
        <v>0</v>
      </c>
      <c r="G187" s="82">
        <v>0</v>
      </c>
      <c r="H187" s="82">
        <v>0</v>
      </c>
      <c r="I187" s="82">
        <v>0</v>
      </c>
      <c r="J187" s="82">
        <v>0</v>
      </c>
      <c r="K187" s="82">
        <v>0</v>
      </c>
      <c r="L187" s="82">
        <v>0</v>
      </c>
      <c r="M187" s="82">
        <v>0</v>
      </c>
      <c r="N187" s="82">
        <v>0</v>
      </c>
      <c r="O187" s="77"/>
      <c r="P187" s="75">
        <f t="shared" ref="P187:P194" si="46">+P188-1</f>
        <v>2013</v>
      </c>
      <c r="Q187" s="100">
        <f>SUMIF('Purchased Power Model'!B:B,Summaries!P187,'Purchased Power Model'!D:D)</f>
        <v>253794532.28605214</v>
      </c>
      <c r="R187" s="87"/>
      <c r="S187" s="100">
        <f>SUMIF('Purchased Power Model'!B:B,Summaries!P187,'Purchased Power Model'!N:N)</f>
        <v>251533693.58879703</v>
      </c>
      <c r="T187" s="87"/>
      <c r="U187" s="101">
        <f>(S187-Q187)/Q187</f>
        <v>-8.9081458016081715E-3</v>
      </c>
    </row>
    <row r="188" spans="2:22" x14ac:dyDescent="0.2">
      <c r="B188" s="75">
        <f t="shared" ref="B188:B196" si="47">+B176</f>
        <v>2014</v>
      </c>
      <c r="C188" s="82">
        <v>0</v>
      </c>
      <c r="D188" s="82">
        <v>0</v>
      </c>
      <c r="E188" s="82">
        <v>0</v>
      </c>
      <c r="F188" s="82">
        <v>0</v>
      </c>
      <c r="G188" s="82">
        <v>0</v>
      </c>
      <c r="H188" s="82">
        <v>0</v>
      </c>
      <c r="I188" s="82">
        <v>0</v>
      </c>
      <c r="J188" s="82">
        <v>0</v>
      </c>
      <c r="K188" s="82">
        <v>0</v>
      </c>
      <c r="L188" s="82">
        <v>0</v>
      </c>
      <c r="M188" s="82">
        <v>0</v>
      </c>
      <c r="N188" s="82">
        <v>0</v>
      </c>
      <c r="O188" s="77"/>
      <c r="P188" s="75">
        <f t="shared" si="46"/>
        <v>2014</v>
      </c>
      <c r="Q188" s="100">
        <f>SUMIF('Purchased Power Model'!B:B,Summaries!P188,'Purchased Power Model'!D:D)</f>
        <v>256463675.28359121</v>
      </c>
      <c r="R188" s="101">
        <f>(Q188-Q187)/Q187</f>
        <v>1.0516944449105305E-2</v>
      </c>
      <c r="S188" s="100">
        <f>SUMIF('Purchased Power Model'!B:B,Summaries!P188,'Purchased Power Model'!N:N)</f>
        <v>253556301.02569917</v>
      </c>
      <c r="T188" s="122">
        <f>+S188/S187-1</f>
        <v>8.0410994171169481E-3</v>
      </c>
      <c r="U188" s="101">
        <f t="shared" ref="U188:U196" si="48">(S188-Q188)/Q188</f>
        <v>-1.1336397853135106E-2</v>
      </c>
    </row>
    <row r="189" spans="2:22" x14ac:dyDescent="0.2">
      <c r="B189" s="75">
        <f t="shared" si="47"/>
        <v>2015</v>
      </c>
      <c r="C189" s="82">
        <v>0</v>
      </c>
      <c r="D189" s="82">
        <v>0</v>
      </c>
      <c r="E189" s="82">
        <v>0</v>
      </c>
      <c r="F189" s="82">
        <v>0</v>
      </c>
      <c r="G189" s="82">
        <v>0</v>
      </c>
      <c r="H189" s="82">
        <v>0</v>
      </c>
      <c r="I189" s="82">
        <v>0</v>
      </c>
      <c r="J189" s="82">
        <v>0</v>
      </c>
      <c r="K189" s="82">
        <v>0</v>
      </c>
      <c r="L189" s="82">
        <v>0</v>
      </c>
      <c r="M189" s="82">
        <v>0</v>
      </c>
      <c r="N189" s="82">
        <v>0</v>
      </c>
      <c r="O189" s="77"/>
      <c r="P189" s="75">
        <f t="shared" si="46"/>
        <v>2015</v>
      </c>
      <c r="Q189" s="100">
        <f>SUMIF('Purchased Power Model'!B:B,Summaries!P189,'Purchased Power Model'!D:D)</f>
        <v>256374688.63650927</v>
      </c>
      <c r="R189" s="101">
        <f t="shared" ref="R189:R196" si="49">(Q189-Q188)/Q188</f>
        <v>-3.4697563693393275E-4</v>
      </c>
      <c r="S189" s="100">
        <f>SUMIF('Purchased Power Model'!B:B,Summaries!P189,'Purchased Power Model'!N:N)</f>
        <v>255727922.66187942</v>
      </c>
      <c r="T189" s="101">
        <f t="shared" ref="T189:T196" si="50">+S189/S188-1</f>
        <v>8.5646526132283629E-3</v>
      </c>
      <c r="U189" s="101">
        <f t="shared" si="48"/>
        <v>-2.522737240831293E-3</v>
      </c>
    </row>
    <row r="190" spans="2:22" x14ac:dyDescent="0.2">
      <c r="B190" s="75">
        <f t="shared" si="47"/>
        <v>2016</v>
      </c>
      <c r="C190" s="82">
        <v>0</v>
      </c>
      <c r="D190" s="82">
        <v>0</v>
      </c>
      <c r="E190" s="82">
        <v>0</v>
      </c>
      <c r="F190" s="82">
        <v>0</v>
      </c>
      <c r="G190" s="82">
        <v>0</v>
      </c>
      <c r="H190" s="82">
        <v>0</v>
      </c>
      <c r="I190" s="82">
        <v>0</v>
      </c>
      <c r="J190" s="82">
        <v>0</v>
      </c>
      <c r="K190" s="82">
        <v>0</v>
      </c>
      <c r="L190" s="82">
        <v>0</v>
      </c>
      <c r="M190" s="82">
        <v>0</v>
      </c>
      <c r="N190" s="82">
        <v>0</v>
      </c>
      <c r="O190" s="77"/>
      <c r="P190" s="75">
        <f t="shared" si="46"/>
        <v>2016</v>
      </c>
      <c r="Q190" s="100">
        <f>SUMIF('Purchased Power Model'!B:B,Summaries!P190,'Purchased Power Model'!D:D)</f>
        <v>259210018.63999999</v>
      </c>
      <c r="R190" s="101">
        <f t="shared" si="49"/>
        <v>1.1059321099793424E-2</v>
      </c>
      <c r="S190" s="100">
        <f>SUMIF('Purchased Power Model'!B:B,Summaries!P190,'Purchased Power Model'!N:N)</f>
        <v>261639329.47235405</v>
      </c>
      <c r="T190" s="101">
        <f t="shared" si="50"/>
        <v>2.3116000587431573E-2</v>
      </c>
      <c r="U190" s="101">
        <f t="shared" si="48"/>
        <v>9.3719789269718825E-3</v>
      </c>
    </row>
    <row r="191" spans="2:22" x14ac:dyDescent="0.2">
      <c r="B191" s="75">
        <f t="shared" si="47"/>
        <v>2017</v>
      </c>
      <c r="C191" s="82">
        <v>0</v>
      </c>
      <c r="D191" s="82">
        <v>0</v>
      </c>
      <c r="E191" s="82">
        <v>0</v>
      </c>
      <c r="F191" s="82">
        <v>0</v>
      </c>
      <c r="G191" s="82">
        <v>0</v>
      </c>
      <c r="H191" s="82">
        <v>0</v>
      </c>
      <c r="I191" s="82">
        <v>0</v>
      </c>
      <c r="J191" s="82">
        <v>0</v>
      </c>
      <c r="K191" s="82">
        <v>0</v>
      </c>
      <c r="L191" s="82">
        <v>0</v>
      </c>
      <c r="M191" s="82">
        <v>0</v>
      </c>
      <c r="N191" s="82">
        <v>0</v>
      </c>
      <c r="O191" s="77"/>
      <c r="P191" s="75">
        <f t="shared" si="46"/>
        <v>2017</v>
      </c>
      <c r="Q191" s="100">
        <f>SUMIF('Purchased Power Model'!B:B,Summaries!P191,'Purchased Power Model'!D:D)</f>
        <v>254048366.90000001</v>
      </c>
      <c r="R191" s="101">
        <f t="shared" si="49"/>
        <v>-1.9913010180245633E-2</v>
      </c>
      <c r="S191" s="100">
        <f>SUMIF('Purchased Power Model'!B:B,Summaries!P191,'Purchased Power Model'!N:N)</f>
        <v>258052709.48889771</v>
      </c>
      <c r="T191" s="101">
        <f t="shared" si="50"/>
        <v>-1.3708260110165571E-2</v>
      </c>
      <c r="U191" s="101">
        <f t="shared" si="48"/>
        <v>1.576212686489702E-2</v>
      </c>
    </row>
    <row r="192" spans="2:22" x14ac:dyDescent="0.2">
      <c r="B192" s="75">
        <f t="shared" si="47"/>
        <v>2018</v>
      </c>
      <c r="C192" s="82">
        <v>0</v>
      </c>
      <c r="D192" s="82">
        <v>0</v>
      </c>
      <c r="E192" s="82">
        <v>0</v>
      </c>
      <c r="F192" s="82">
        <v>0</v>
      </c>
      <c r="G192" s="82">
        <v>0</v>
      </c>
      <c r="H192" s="82">
        <v>0</v>
      </c>
      <c r="I192" s="82">
        <v>0</v>
      </c>
      <c r="J192" s="82">
        <v>0</v>
      </c>
      <c r="K192" s="82">
        <v>0</v>
      </c>
      <c r="L192" s="82">
        <v>0</v>
      </c>
      <c r="M192" s="82">
        <v>0</v>
      </c>
      <c r="N192" s="82">
        <v>0</v>
      </c>
      <c r="O192" s="77"/>
      <c r="P192" s="75">
        <f t="shared" si="46"/>
        <v>2018</v>
      </c>
      <c r="Q192" s="100">
        <f>SUMIF('Purchased Power Model'!B:B,Summaries!P192,'Purchased Power Model'!D:D)</f>
        <v>266473255.97205046</v>
      </c>
      <c r="R192" s="101">
        <f t="shared" si="49"/>
        <v>4.8907573088006542E-2</v>
      </c>
      <c r="S192" s="100">
        <f>SUMIF('Purchased Power Model'!B:B,Summaries!P192,'Purchased Power Model'!N:N)</f>
        <v>265791999.93549296</v>
      </c>
      <c r="T192" s="101">
        <f t="shared" si="50"/>
        <v>2.9991122596324526E-2</v>
      </c>
      <c r="U192" s="101">
        <f t="shared" si="48"/>
        <v>-2.5565643879434954E-3</v>
      </c>
    </row>
    <row r="193" spans="2:21" x14ac:dyDescent="0.2">
      <c r="B193" s="75">
        <f t="shared" si="47"/>
        <v>2019</v>
      </c>
      <c r="C193" s="82">
        <v>0</v>
      </c>
      <c r="D193" s="82">
        <v>0</v>
      </c>
      <c r="E193" s="82">
        <v>0</v>
      </c>
      <c r="F193" s="82">
        <v>0</v>
      </c>
      <c r="G193" s="82">
        <v>0</v>
      </c>
      <c r="H193" s="82">
        <v>0</v>
      </c>
      <c r="I193" s="82">
        <v>0</v>
      </c>
      <c r="J193" s="82">
        <v>0</v>
      </c>
      <c r="K193" s="82">
        <v>0</v>
      </c>
      <c r="L193" s="82">
        <v>0</v>
      </c>
      <c r="M193" s="82">
        <v>0</v>
      </c>
      <c r="N193" s="82">
        <v>0</v>
      </c>
      <c r="O193" s="77"/>
      <c r="P193" s="75">
        <f t="shared" si="46"/>
        <v>2019</v>
      </c>
      <c r="Q193" s="100">
        <f>SUMIF('Purchased Power Model'!B:B,Summaries!P193,'Purchased Power Model'!D:D)</f>
        <v>261985353.56</v>
      </c>
      <c r="R193" s="101">
        <f t="shared" si="49"/>
        <v>-1.6841849271812769E-2</v>
      </c>
      <c r="S193" s="100">
        <f>SUMIF('Purchased Power Model'!B:B,Summaries!P193,'Purchased Power Model'!N:N)</f>
        <v>264427475.99361259</v>
      </c>
      <c r="T193" s="101">
        <f t="shared" si="50"/>
        <v>-5.1338036592957215E-3</v>
      </c>
      <c r="U193" s="101">
        <f t="shared" si="48"/>
        <v>9.3215990910472373E-3</v>
      </c>
    </row>
    <row r="194" spans="2:21" x14ac:dyDescent="0.2">
      <c r="B194" s="75">
        <f t="shared" si="47"/>
        <v>2020</v>
      </c>
      <c r="C194" s="82">
        <v>0</v>
      </c>
      <c r="D194" s="82">
        <v>0</v>
      </c>
      <c r="E194" s="82">
        <v>0</v>
      </c>
      <c r="F194" s="82">
        <v>1</v>
      </c>
      <c r="G194" s="82">
        <v>0</v>
      </c>
      <c r="H194" s="82">
        <v>0</v>
      </c>
      <c r="I194" s="82">
        <v>0</v>
      </c>
      <c r="J194" s="82">
        <v>0</v>
      </c>
      <c r="K194" s="82">
        <v>0</v>
      </c>
      <c r="L194" s="82">
        <v>0</v>
      </c>
      <c r="M194" s="82">
        <v>0</v>
      </c>
      <c r="N194" s="82">
        <v>0</v>
      </c>
      <c r="O194" s="77"/>
      <c r="P194" s="75">
        <f t="shared" si="46"/>
        <v>2020</v>
      </c>
      <c r="Q194" s="100">
        <f>SUMIF('Purchased Power Model'!B:B,Summaries!P194,'Purchased Power Model'!D:D)</f>
        <v>263490930.20000002</v>
      </c>
      <c r="R194" s="101">
        <f t="shared" si="49"/>
        <v>5.7467969851803481E-3</v>
      </c>
      <c r="S194" s="100">
        <f>SUMIF('Purchased Power Model'!B:B,Summaries!P194,'Purchased Power Model'!N:N)</f>
        <v>265846091.2069304</v>
      </c>
      <c r="T194" s="101">
        <f t="shared" si="50"/>
        <v>5.3648555543905907E-3</v>
      </c>
      <c r="U194" s="101">
        <f t="shared" si="48"/>
        <v>8.9383000968675502E-3</v>
      </c>
    </row>
    <row r="195" spans="2:21" x14ac:dyDescent="0.2">
      <c r="B195" s="75">
        <f t="shared" si="47"/>
        <v>2021</v>
      </c>
      <c r="C195" s="82">
        <v>0</v>
      </c>
      <c r="D195" s="82">
        <v>0</v>
      </c>
      <c r="E195" s="82">
        <v>0</v>
      </c>
      <c r="F195" s="82">
        <v>0</v>
      </c>
      <c r="G195" s="82">
        <v>0</v>
      </c>
      <c r="H195" s="82">
        <v>0</v>
      </c>
      <c r="I195" s="82">
        <v>0</v>
      </c>
      <c r="J195" s="82">
        <v>0</v>
      </c>
      <c r="K195" s="82">
        <v>0</v>
      </c>
      <c r="L195" s="82">
        <v>0</v>
      </c>
      <c r="M195" s="82">
        <v>0</v>
      </c>
      <c r="N195" s="82">
        <v>0</v>
      </c>
      <c r="O195" s="77"/>
      <c r="P195" s="75">
        <f>+P196-1</f>
        <v>2021</v>
      </c>
      <c r="Q195" s="100">
        <f>SUMIF('Purchased Power Model'!B:B,Summaries!P195,'Purchased Power Model'!D:D)</f>
        <v>268727921.99999994</v>
      </c>
      <c r="R195" s="101">
        <f t="shared" si="49"/>
        <v>1.987541581042216E-2</v>
      </c>
      <c r="S195" s="100">
        <f>SUMIF('Purchased Power Model'!B:B,Summaries!P195,'Purchased Power Model'!N:N)</f>
        <v>267553382.3857789</v>
      </c>
      <c r="T195" s="101">
        <f t="shared" si="50"/>
        <v>6.4221037484413213E-3</v>
      </c>
      <c r="U195" s="101">
        <f t="shared" si="48"/>
        <v>-4.3707390191520057E-3</v>
      </c>
    </row>
    <row r="196" spans="2:21" x14ac:dyDescent="0.2">
      <c r="B196" s="75">
        <f t="shared" si="47"/>
        <v>2022</v>
      </c>
      <c r="C196" s="82">
        <v>0</v>
      </c>
      <c r="D196" s="82">
        <v>0</v>
      </c>
      <c r="E196" s="82">
        <v>0</v>
      </c>
      <c r="F196" s="82">
        <v>0</v>
      </c>
      <c r="G196" s="82">
        <v>0</v>
      </c>
      <c r="H196" s="82">
        <v>0</v>
      </c>
      <c r="I196" s="82">
        <v>0</v>
      </c>
      <c r="J196" s="82">
        <v>0</v>
      </c>
      <c r="K196" s="82">
        <v>0</v>
      </c>
      <c r="L196" s="82">
        <v>0</v>
      </c>
      <c r="M196" s="82">
        <v>0</v>
      </c>
      <c r="N196" s="82">
        <v>0</v>
      </c>
      <c r="O196" s="77"/>
      <c r="P196" s="75">
        <v>2022</v>
      </c>
      <c r="Q196" s="100">
        <f>SUMIF('Purchased Power Model'!B:B,Summaries!P196,'Purchased Power Model'!D:D)</f>
        <v>275977471.30408913</v>
      </c>
      <c r="R196" s="101">
        <f t="shared" si="49"/>
        <v>2.6977283380657371E-2</v>
      </c>
      <c r="S196" s="100">
        <f>SUMIF('Purchased Power Model'!B:B,Summaries!P196,'Purchased Power Model'!N:N)</f>
        <v>275977471.30408889</v>
      </c>
      <c r="T196" s="101">
        <f t="shared" si="50"/>
        <v>3.1485637905946939E-2</v>
      </c>
      <c r="U196" s="101">
        <f t="shared" si="48"/>
        <v>-8.6390594846366312E-16</v>
      </c>
    </row>
    <row r="197" spans="2:21" x14ac:dyDescent="0.2">
      <c r="O197" s="77"/>
    </row>
    <row r="199" spans="2:21" ht="25.5" customHeight="1" x14ac:dyDescent="0.2">
      <c r="B199" s="76" t="s">
        <v>70</v>
      </c>
      <c r="C199" s="76" t="s">
        <v>83</v>
      </c>
      <c r="D199" s="76" t="s">
        <v>84</v>
      </c>
      <c r="E199" s="76" t="s">
        <v>85</v>
      </c>
      <c r="F199" s="76" t="s">
        <v>86</v>
      </c>
      <c r="G199" s="76" t="s">
        <v>60</v>
      </c>
      <c r="H199" s="76" t="s">
        <v>87</v>
      </c>
      <c r="I199" s="76" t="s">
        <v>88</v>
      </c>
      <c r="J199" s="76" t="s">
        <v>89</v>
      </c>
      <c r="K199" s="76" t="s">
        <v>90</v>
      </c>
      <c r="L199" s="76" t="s">
        <v>91</v>
      </c>
      <c r="M199" s="76" t="s">
        <v>92</v>
      </c>
      <c r="N199" s="76" t="s">
        <v>93</v>
      </c>
    </row>
    <row r="200" spans="2:21" x14ac:dyDescent="0.2">
      <c r="B200" s="75">
        <f>+B187</f>
        <v>2013</v>
      </c>
      <c r="C200" s="82">
        <f>SUMIF(Inputs!$A:$A,Summaries!$B200&amp;C$42,Inputs!$M:$M)</f>
        <v>1</v>
      </c>
      <c r="D200" s="82">
        <f>SUMIF(Inputs!$A:$A,Summaries!$B200&amp;D$42,Inputs!$M:$M)</f>
        <v>2</v>
      </c>
      <c r="E200" s="82">
        <f>SUMIF(Inputs!$A:$A,Summaries!$B200&amp;E$42,Inputs!$M:$M)</f>
        <v>3</v>
      </c>
      <c r="F200" s="82">
        <f>SUMIF(Inputs!$A:$A,Summaries!$B200&amp;F$42,Inputs!$M:$M)</f>
        <v>4</v>
      </c>
      <c r="G200" s="82">
        <f>SUMIF(Inputs!$A:$A,Summaries!$B200&amp;G$42,Inputs!$M:$M)</f>
        <v>5</v>
      </c>
      <c r="H200" s="82">
        <f>SUMIF(Inputs!$A:$A,Summaries!$B200&amp;H$42,Inputs!$M:$M)</f>
        <v>6</v>
      </c>
      <c r="I200" s="82">
        <f>SUMIF(Inputs!$A:$A,Summaries!$B200&amp;I$42,Inputs!$M:$M)</f>
        <v>7</v>
      </c>
      <c r="J200" s="82">
        <f>SUMIF(Inputs!$A:$A,Summaries!$B200&amp;J$42,Inputs!$M:$M)</f>
        <v>8</v>
      </c>
      <c r="K200" s="82">
        <f>SUMIF(Inputs!$A:$A,Summaries!$B200&amp;K$42,Inputs!$M:$M)</f>
        <v>9</v>
      </c>
      <c r="L200" s="82">
        <f>SUMIF(Inputs!$A:$A,Summaries!$B200&amp;L$42,Inputs!$M:$M)</f>
        <v>10</v>
      </c>
      <c r="M200" s="82">
        <f>SUMIF(Inputs!$A:$A,Summaries!$B200&amp;M$42,Inputs!$M:$M)</f>
        <v>11</v>
      </c>
      <c r="N200" s="82">
        <f>SUMIF(Inputs!$A:$A,Summaries!$B200&amp;N$42,Inputs!$M:$M)</f>
        <v>12</v>
      </c>
    </row>
    <row r="201" spans="2:21" x14ac:dyDescent="0.2">
      <c r="B201" s="75">
        <f t="shared" ref="B201:B209" si="51">+B188</f>
        <v>2014</v>
      </c>
      <c r="C201" s="82">
        <f>SUMIF(Inputs!$A:$A,Summaries!$B201&amp;C$42,Inputs!$M:$M)</f>
        <v>13</v>
      </c>
      <c r="D201" s="82">
        <f>SUMIF(Inputs!$A:$A,Summaries!$B201&amp;D$42,Inputs!$M:$M)</f>
        <v>14</v>
      </c>
      <c r="E201" s="82">
        <f>SUMIF(Inputs!$A:$A,Summaries!$B201&amp;E$42,Inputs!$M:$M)</f>
        <v>15</v>
      </c>
      <c r="F201" s="82">
        <f>SUMIF(Inputs!$A:$A,Summaries!$B201&amp;F$42,Inputs!$M:$M)</f>
        <v>16</v>
      </c>
      <c r="G201" s="82">
        <f>SUMIF(Inputs!$A:$A,Summaries!$B201&amp;G$42,Inputs!$M:$M)</f>
        <v>17</v>
      </c>
      <c r="H201" s="82">
        <f>SUMIF(Inputs!$A:$A,Summaries!$B201&amp;H$42,Inputs!$M:$M)</f>
        <v>18</v>
      </c>
      <c r="I201" s="82">
        <f>SUMIF(Inputs!$A:$A,Summaries!$B201&amp;I$42,Inputs!$M:$M)</f>
        <v>19</v>
      </c>
      <c r="J201" s="82">
        <f>SUMIF(Inputs!$A:$A,Summaries!$B201&amp;J$42,Inputs!$M:$M)</f>
        <v>20</v>
      </c>
      <c r="K201" s="82">
        <f>SUMIF(Inputs!$A:$A,Summaries!$B201&amp;K$42,Inputs!$M:$M)</f>
        <v>21</v>
      </c>
      <c r="L201" s="82">
        <f>SUMIF(Inputs!$A:$A,Summaries!$B201&amp;L$42,Inputs!$M:$M)</f>
        <v>22</v>
      </c>
      <c r="M201" s="82">
        <f>SUMIF(Inputs!$A:$A,Summaries!$B201&amp;M$42,Inputs!$M:$M)</f>
        <v>23</v>
      </c>
      <c r="N201" s="82">
        <f>SUMIF(Inputs!$A:$A,Summaries!$B201&amp;N$42,Inputs!$M:$M)</f>
        <v>24</v>
      </c>
    </row>
    <row r="202" spans="2:21" x14ac:dyDescent="0.2">
      <c r="B202" s="75">
        <f t="shared" si="51"/>
        <v>2015</v>
      </c>
      <c r="C202" s="82">
        <f>SUMIF(Inputs!$A:$A,Summaries!$B202&amp;C$42,Inputs!$M:$M)</f>
        <v>25</v>
      </c>
      <c r="D202" s="82">
        <f>SUMIF(Inputs!$A:$A,Summaries!$B202&amp;D$42,Inputs!$M:$M)</f>
        <v>26</v>
      </c>
      <c r="E202" s="82">
        <f>SUMIF(Inputs!$A:$A,Summaries!$B202&amp;E$42,Inputs!$M:$M)</f>
        <v>27</v>
      </c>
      <c r="F202" s="82">
        <f>SUMIF(Inputs!$A:$A,Summaries!$B202&amp;F$42,Inputs!$M:$M)</f>
        <v>28</v>
      </c>
      <c r="G202" s="82">
        <f>SUMIF(Inputs!$A:$A,Summaries!$B202&amp;G$42,Inputs!$M:$M)</f>
        <v>29</v>
      </c>
      <c r="H202" s="82">
        <f>SUMIF(Inputs!$A:$A,Summaries!$B202&amp;H$42,Inputs!$M:$M)</f>
        <v>30</v>
      </c>
      <c r="I202" s="82">
        <f>SUMIF(Inputs!$A:$A,Summaries!$B202&amp;I$42,Inputs!$M:$M)</f>
        <v>31</v>
      </c>
      <c r="J202" s="82">
        <f>SUMIF(Inputs!$A:$A,Summaries!$B202&amp;J$42,Inputs!$M:$M)</f>
        <v>32</v>
      </c>
      <c r="K202" s="82">
        <f>SUMIF(Inputs!$A:$A,Summaries!$B202&amp;K$42,Inputs!$M:$M)</f>
        <v>33</v>
      </c>
      <c r="L202" s="82">
        <f>SUMIF(Inputs!$A:$A,Summaries!$B202&amp;L$42,Inputs!$M:$M)</f>
        <v>34</v>
      </c>
      <c r="M202" s="82">
        <f>SUMIF(Inputs!$A:$A,Summaries!$B202&amp;M$42,Inputs!$M:$M)</f>
        <v>35</v>
      </c>
      <c r="N202" s="82">
        <f>SUMIF(Inputs!$A:$A,Summaries!$B202&amp;N$42,Inputs!$M:$M)</f>
        <v>36</v>
      </c>
    </row>
    <row r="203" spans="2:21" x14ac:dyDescent="0.2">
      <c r="B203" s="75">
        <f t="shared" si="51"/>
        <v>2016</v>
      </c>
      <c r="C203" s="82">
        <f>SUMIF(Inputs!$A:$A,Summaries!$B203&amp;C$42,Inputs!$M:$M)</f>
        <v>37</v>
      </c>
      <c r="D203" s="82">
        <f>SUMIF(Inputs!$A:$A,Summaries!$B203&amp;D$42,Inputs!$M:$M)</f>
        <v>38</v>
      </c>
      <c r="E203" s="82">
        <f>SUMIF(Inputs!$A:$A,Summaries!$B203&amp;E$42,Inputs!$M:$M)</f>
        <v>39</v>
      </c>
      <c r="F203" s="82">
        <f>SUMIF(Inputs!$A:$A,Summaries!$B203&amp;F$42,Inputs!$M:$M)</f>
        <v>40</v>
      </c>
      <c r="G203" s="82">
        <f>SUMIF(Inputs!$A:$A,Summaries!$B203&amp;G$42,Inputs!$M:$M)</f>
        <v>41</v>
      </c>
      <c r="H203" s="82">
        <f>SUMIF(Inputs!$A:$A,Summaries!$B203&amp;H$42,Inputs!$M:$M)</f>
        <v>42</v>
      </c>
      <c r="I203" s="82">
        <f>SUMIF(Inputs!$A:$A,Summaries!$B203&amp;I$42,Inputs!$M:$M)</f>
        <v>43</v>
      </c>
      <c r="J203" s="82">
        <f>SUMIF(Inputs!$A:$A,Summaries!$B203&amp;J$42,Inputs!$M:$M)</f>
        <v>44</v>
      </c>
      <c r="K203" s="82">
        <f>SUMIF(Inputs!$A:$A,Summaries!$B203&amp;K$42,Inputs!$M:$M)</f>
        <v>45</v>
      </c>
      <c r="L203" s="82">
        <f>SUMIF(Inputs!$A:$A,Summaries!$B203&amp;L$42,Inputs!$M:$M)</f>
        <v>46</v>
      </c>
      <c r="M203" s="82">
        <f>SUMIF(Inputs!$A:$A,Summaries!$B203&amp;M$42,Inputs!$M:$M)</f>
        <v>47</v>
      </c>
      <c r="N203" s="82">
        <f>SUMIF(Inputs!$A:$A,Summaries!$B203&amp;N$42,Inputs!$M:$M)</f>
        <v>48</v>
      </c>
    </row>
    <row r="204" spans="2:21" x14ac:dyDescent="0.2">
      <c r="B204" s="75">
        <f t="shared" si="51"/>
        <v>2017</v>
      </c>
      <c r="C204" s="82">
        <f>SUMIF(Inputs!$A:$A,Summaries!$B204&amp;C$42,Inputs!$M:$M)</f>
        <v>49</v>
      </c>
      <c r="D204" s="82">
        <f>SUMIF(Inputs!$A:$A,Summaries!$B204&amp;D$42,Inputs!$M:$M)</f>
        <v>50</v>
      </c>
      <c r="E204" s="82">
        <f>SUMIF(Inputs!$A:$A,Summaries!$B204&amp;E$42,Inputs!$M:$M)</f>
        <v>51</v>
      </c>
      <c r="F204" s="82">
        <f>SUMIF(Inputs!$A:$A,Summaries!$B204&amp;F$42,Inputs!$M:$M)</f>
        <v>52</v>
      </c>
      <c r="G204" s="82">
        <f>SUMIF(Inputs!$A:$A,Summaries!$B204&amp;G$42,Inputs!$M:$M)</f>
        <v>53</v>
      </c>
      <c r="H204" s="82">
        <f>SUMIF(Inputs!$A:$A,Summaries!$B204&amp;H$42,Inputs!$M:$M)</f>
        <v>54</v>
      </c>
      <c r="I204" s="82">
        <f>SUMIF(Inputs!$A:$A,Summaries!$B204&amp;I$42,Inputs!$M:$M)</f>
        <v>55</v>
      </c>
      <c r="J204" s="82">
        <f>SUMIF(Inputs!$A:$A,Summaries!$B204&amp;J$42,Inputs!$M:$M)</f>
        <v>56</v>
      </c>
      <c r="K204" s="82">
        <f>SUMIF(Inputs!$A:$A,Summaries!$B204&amp;K$42,Inputs!$M:$M)</f>
        <v>57</v>
      </c>
      <c r="L204" s="82">
        <f>SUMIF(Inputs!$A:$A,Summaries!$B204&amp;L$42,Inputs!$M:$M)</f>
        <v>58</v>
      </c>
      <c r="M204" s="82">
        <f>SUMIF(Inputs!$A:$A,Summaries!$B204&amp;M$42,Inputs!$M:$M)</f>
        <v>59</v>
      </c>
      <c r="N204" s="82">
        <f>SUMIF(Inputs!$A:$A,Summaries!$B204&amp;N$42,Inputs!$M:$M)</f>
        <v>60</v>
      </c>
    </row>
    <row r="205" spans="2:21" x14ac:dyDescent="0.2">
      <c r="B205" s="75">
        <f t="shared" si="51"/>
        <v>2018</v>
      </c>
      <c r="C205" s="82">
        <f>SUMIF(Inputs!$A:$A,Summaries!$B205&amp;C$42,Inputs!$M:$M)</f>
        <v>61</v>
      </c>
      <c r="D205" s="82">
        <f>SUMIF(Inputs!$A:$A,Summaries!$B205&amp;D$42,Inputs!$M:$M)</f>
        <v>62</v>
      </c>
      <c r="E205" s="82">
        <f>SUMIF(Inputs!$A:$A,Summaries!$B205&amp;E$42,Inputs!$M:$M)</f>
        <v>63</v>
      </c>
      <c r="F205" s="82">
        <f>SUMIF(Inputs!$A:$A,Summaries!$B205&amp;F$42,Inputs!$M:$M)</f>
        <v>64</v>
      </c>
      <c r="G205" s="82">
        <f>SUMIF(Inputs!$A:$A,Summaries!$B205&amp;G$42,Inputs!$M:$M)</f>
        <v>65</v>
      </c>
      <c r="H205" s="82">
        <f>SUMIF(Inputs!$A:$A,Summaries!$B205&amp;H$42,Inputs!$M:$M)</f>
        <v>66</v>
      </c>
      <c r="I205" s="82">
        <f>SUMIF(Inputs!$A:$A,Summaries!$B205&amp;I$42,Inputs!$M:$M)</f>
        <v>67</v>
      </c>
      <c r="J205" s="82">
        <f>SUMIF(Inputs!$A:$A,Summaries!$B205&amp;J$42,Inputs!$M:$M)</f>
        <v>68</v>
      </c>
      <c r="K205" s="82">
        <f>SUMIF(Inputs!$A:$A,Summaries!$B205&amp;K$42,Inputs!$M:$M)</f>
        <v>69</v>
      </c>
      <c r="L205" s="82">
        <f>SUMIF(Inputs!$A:$A,Summaries!$B205&amp;L$42,Inputs!$M:$M)</f>
        <v>70</v>
      </c>
      <c r="M205" s="82">
        <f>SUMIF(Inputs!$A:$A,Summaries!$B205&amp;M$42,Inputs!$M:$M)</f>
        <v>71</v>
      </c>
      <c r="N205" s="82">
        <f>SUMIF(Inputs!$A:$A,Summaries!$B205&amp;N$42,Inputs!$M:$M)</f>
        <v>72</v>
      </c>
    </row>
    <row r="206" spans="2:21" x14ac:dyDescent="0.2">
      <c r="B206" s="75">
        <f t="shared" si="51"/>
        <v>2019</v>
      </c>
      <c r="C206" s="82">
        <f>SUMIF(Inputs!$A:$A,Summaries!$B206&amp;C$42,Inputs!$M:$M)</f>
        <v>73</v>
      </c>
      <c r="D206" s="82">
        <f>SUMIF(Inputs!$A:$A,Summaries!$B206&amp;D$42,Inputs!$M:$M)</f>
        <v>74</v>
      </c>
      <c r="E206" s="82">
        <f>SUMIF(Inputs!$A:$A,Summaries!$B206&amp;E$42,Inputs!$M:$M)</f>
        <v>75</v>
      </c>
      <c r="F206" s="82">
        <f>SUMIF(Inputs!$A:$A,Summaries!$B206&amp;F$42,Inputs!$M:$M)</f>
        <v>76</v>
      </c>
      <c r="G206" s="82">
        <f>SUMIF(Inputs!$A:$A,Summaries!$B206&amp;G$42,Inputs!$M:$M)</f>
        <v>77</v>
      </c>
      <c r="H206" s="82">
        <f>SUMIF(Inputs!$A:$A,Summaries!$B206&amp;H$42,Inputs!$M:$M)</f>
        <v>78</v>
      </c>
      <c r="I206" s="82">
        <f>SUMIF(Inputs!$A:$A,Summaries!$B206&amp;I$42,Inputs!$M:$M)</f>
        <v>79</v>
      </c>
      <c r="J206" s="82">
        <f>SUMIF(Inputs!$A:$A,Summaries!$B206&amp;J$42,Inputs!$M:$M)</f>
        <v>80</v>
      </c>
      <c r="K206" s="82">
        <f>SUMIF(Inputs!$A:$A,Summaries!$B206&amp;K$42,Inputs!$M:$M)</f>
        <v>81</v>
      </c>
      <c r="L206" s="82">
        <f>SUMIF(Inputs!$A:$A,Summaries!$B206&amp;L$42,Inputs!$M:$M)</f>
        <v>82</v>
      </c>
      <c r="M206" s="82">
        <f>SUMIF(Inputs!$A:$A,Summaries!$B206&amp;M$42,Inputs!$M:$M)</f>
        <v>83</v>
      </c>
      <c r="N206" s="82">
        <f>SUMIF(Inputs!$A:$A,Summaries!$B206&amp;N$42,Inputs!$M:$M)</f>
        <v>84</v>
      </c>
    </row>
    <row r="207" spans="2:21" x14ac:dyDescent="0.2">
      <c r="B207" s="75">
        <f t="shared" si="51"/>
        <v>2020</v>
      </c>
      <c r="C207" s="82">
        <f>SUMIF(Inputs!$A:$A,Summaries!$B207&amp;C$42,Inputs!$M:$M)</f>
        <v>85</v>
      </c>
      <c r="D207" s="82">
        <f>SUMIF(Inputs!$A:$A,Summaries!$B207&amp;D$42,Inputs!$M:$M)</f>
        <v>86</v>
      </c>
      <c r="E207" s="82">
        <f>SUMIF(Inputs!$A:$A,Summaries!$B207&amp;E$42,Inputs!$M:$M)</f>
        <v>87</v>
      </c>
      <c r="F207" s="82">
        <f>SUMIF(Inputs!$A:$A,Summaries!$B207&amp;F$42,Inputs!$M:$M)</f>
        <v>88</v>
      </c>
      <c r="G207" s="82">
        <f>SUMIF(Inputs!$A:$A,Summaries!$B207&amp;G$42,Inputs!$M:$M)</f>
        <v>89</v>
      </c>
      <c r="H207" s="82">
        <f>SUMIF(Inputs!$A:$A,Summaries!$B207&amp;H$42,Inputs!$M:$M)</f>
        <v>90</v>
      </c>
      <c r="I207" s="82">
        <f>SUMIF(Inputs!$A:$A,Summaries!$B207&amp;I$42,Inputs!$M:$M)</f>
        <v>91</v>
      </c>
      <c r="J207" s="82">
        <f>SUMIF(Inputs!$A:$A,Summaries!$B207&amp;J$42,Inputs!$M:$M)</f>
        <v>92</v>
      </c>
      <c r="K207" s="82">
        <f>SUMIF(Inputs!$A:$A,Summaries!$B207&amp;K$42,Inputs!$M:$M)</f>
        <v>93</v>
      </c>
      <c r="L207" s="82">
        <f>SUMIF(Inputs!$A:$A,Summaries!$B207&amp;L$42,Inputs!$M:$M)</f>
        <v>94</v>
      </c>
      <c r="M207" s="82">
        <f>SUMIF(Inputs!$A:$A,Summaries!$B207&amp;M$42,Inputs!$M:$M)</f>
        <v>95</v>
      </c>
      <c r="N207" s="82">
        <f>SUMIF(Inputs!$A:$A,Summaries!$B207&amp;N$42,Inputs!$M:$M)</f>
        <v>96</v>
      </c>
    </row>
    <row r="208" spans="2:21" x14ac:dyDescent="0.2">
      <c r="B208" s="75">
        <f t="shared" si="51"/>
        <v>2021</v>
      </c>
      <c r="C208" s="82">
        <f>SUMIF(Inputs!$A:$A,Summaries!$B208&amp;C$42,Inputs!$M:$M)</f>
        <v>97</v>
      </c>
      <c r="D208" s="82">
        <f>SUMIF(Inputs!$A:$A,Summaries!$B208&amp;D$42,Inputs!$M:$M)</f>
        <v>98</v>
      </c>
      <c r="E208" s="82">
        <f>SUMIF(Inputs!$A:$A,Summaries!$B208&amp;E$42,Inputs!$M:$M)</f>
        <v>99</v>
      </c>
      <c r="F208" s="82">
        <f>SUMIF(Inputs!$A:$A,Summaries!$B208&amp;F$42,Inputs!$M:$M)</f>
        <v>100</v>
      </c>
      <c r="G208" s="82">
        <f>SUMIF(Inputs!$A:$A,Summaries!$B208&amp;G$42,Inputs!$M:$M)</f>
        <v>101</v>
      </c>
      <c r="H208" s="82">
        <f>SUMIF(Inputs!$A:$A,Summaries!$B208&amp;H$42,Inputs!$M:$M)</f>
        <v>102</v>
      </c>
      <c r="I208" s="82">
        <f>SUMIF(Inputs!$A:$A,Summaries!$B208&amp;I$42,Inputs!$M:$M)</f>
        <v>103</v>
      </c>
      <c r="J208" s="82">
        <f>SUMIF(Inputs!$A:$A,Summaries!$B208&amp;J$42,Inputs!$M:$M)</f>
        <v>104</v>
      </c>
      <c r="K208" s="82">
        <f>SUMIF(Inputs!$A:$A,Summaries!$B208&amp;K$42,Inputs!$M:$M)</f>
        <v>105</v>
      </c>
      <c r="L208" s="82">
        <f>SUMIF(Inputs!$A:$A,Summaries!$B208&amp;L$42,Inputs!$M:$M)</f>
        <v>106</v>
      </c>
      <c r="M208" s="82">
        <f>SUMIF(Inputs!$A:$A,Summaries!$B208&amp;M$42,Inputs!$M:$M)</f>
        <v>107</v>
      </c>
      <c r="N208" s="82">
        <f>SUMIF(Inputs!$A:$A,Summaries!$B208&amp;N$42,Inputs!$M:$M)</f>
        <v>108</v>
      </c>
    </row>
    <row r="209" spans="2:16" x14ac:dyDescent="0.2">
      <c r="B209" s="75">
        <f t="shared" si="51"/>
        <v>2022</v>
      </c>
      <c r="C209" s="82">
        <f>SUMIF(Inputs!$A:$A,Summaries!$B209&amp;C$42,Inputs!$M:$M)</f>
        <v>109</v>
      </c>
      <c r="D209" s="82">
        <f>SUMIF(Inputs!$A:$A,Summaries!$B209&amp;D$42,Inputs!$M:$M)</f>
        <v>110</v>
      </c>
      <c r="E209" s="82">
        <f>SUMIF(Inputs!$A:$A,Summaries!$B209&amp;E$42,Inputs!$M:$M)</f>
        <v>111</v>
      </c>
      <c r="F209" s="82">
        <f>SUMIF(Inputs!$A:$A,Summaries!$B209&amp;F$42,Inputs!$M:$M)</f>
        <v>112</v>
      </c>
      <c r="G209" s="82">
        <f>SUMIF(Inputs!$A:$A,Summaries!$B209&amp;G$42,Inputs!$M:$M)</f>
        <v>113</v>
      </c>
      <c r="H209" s="82">
        <f>SUMIF(Inputs!$A:$A,Summaries!$B209&amp;H$42,Inputs!$M:$M)</f>
        <v>114</v>
      </c>
      <c r="I209" s="82">
        <f>SUMIF(Inputs!$A:$A,Summaries!$B209&amp;I$42,Inputs!$M:$M)</f>
        <v>115</v>
      </c>
      <c r="J209" s="82">
        <f>SUMIF(Inputs!$A:$A,Summaries!$B209&amp;J$42,Inputs!$M:$M)</f>
        <v>116</v>
      </c>
      <c r="K209" s="82">
        <f>SUMIF(Inputs!$A:$A,Summaries!$B209&amp;K$42,Inputs!$M:$M)</f>
        <v>117</v>
      </c>
      <c r="L209" s="82">
        <f>SUMIF(Inputs!$A:$A,Summaries!$B209&amp;L$42,Inputs!$M:$M)</f>
        <v>118</v>
      </c>
      <c r="M209" s="82">
        <f>SUMIF(Inputs!$A:$A,Summaries!$B209&amp;M$42,Inputs!$M:$M)</f>
        <v>119</v>
      </c>
      <c r="N209" s="82">
        <f>SUMIF(Inputs!$A:$A,Summaries!$B209&amp;N$42,Inputs!$M:$M)</f>
        <v>120</v>
      </c>
    </row>
    <row r="210" spans="2:16" x14ac:dyDescent="0.2">
      <c r="B210" s="84" t="s">
        <v>156</v>
      </c>
      <c r="C210" s="86">
        <v>120</v>
      </c>
      <c r="D210" s="86">
        <v>120</v>
      </c>
      <c r="E210" s="86">
        <v>120</v>
      </c>
      <c r="F210" s="86">
        <v>120</v>
      </c>
      <c r="G210" s="86">
        <v>120</v>
      </c>
      <c r="H210" s="86">
        <v>120</v>
      </c>
      <c r="I210" s="86">
        <v>120</v>
      </c>
      <c r="J210" s="86">
        <v>120</v>
      </c>
      <c r="K210" s="86">
        <v>120</v>
      </c>
      <c r="L210" s="86">
        <v>120</v>
      </c>
      <c r="M210" s="86">
        <v>120</v>
      </c>
      <c r="N210" s="86">
        <v>120</v>
      </c>
      <c r="O210" s="47"/>
      <c r="P210" s="47"/>
    </row>
    <row r="211" spans="2:16" x14ac:dyDescent="0.2">
      <c r="B211" s="84" t="s">
        <v>157</v>
      </c>
      <c r="C211" s="86">
        <v>120</v>
      </c>
      <c r="D211" s="86">
        <v>120</v>
      </c>
      <c r="E211" s="86">
        <v>120</v>
      </c>
      <c r="F211" s="86">
        <v>120</v>
      </c>
      <c r="G211" s="86">
        <v>120</v>
      </c>
      <c r="H211" s="86">
        <v>120</v>
      </c>
      <c r="I211" s="86">
        <v>120</v>
      </c>
      <c r="J211" s="86">
        <v>120</v>
      </c>
      <c r="K211" s="86">
        <v>120</v>
      </c>
      <c r="L211" s="86">
        <v>120</v>
      </c>
      <c r="M211" s="86">
        <v>120</v>
      </c>
      <c r="N211" s="86">
        <v>120</v>
      </c>
      <c r="O211" s="47"/>
      <c r="P211" s="47"/>
    </row>
    <row r="216" spans="2:16" ht="38.25" x14ac:dyDescent="0.2">
      <c r="B216" s="76" t="s">
        <v>191</v>
      </c>
      <c r="C216" s="76" t="s">
        <v>189</v>
      </c>
      <c r="D216" s="76" t="s">
        <v>190</v>
      </c>
    </row>
    <row r="217" spans="2:16" x14ac:dyDescent="0.2">
      <c r="B217" s="130" t="str">
        <f>+'Purchased Power Model'!S5</f>
        <v>Multiple R</v>
      </c>
      <c r="C217" s="127">
        <f>+'Purchased Power Model'!T5</f>
        <v>0.96204524479694453</v>
      </c>
      <c r="D217" s="82">
        <f>SUMIF(Inputs!$A:$A,Summaries!$B217&amp;D$42,Inputs!$M:$M)</f>
        <v>0</v>
      </c>
    </row>
    <row r="218" spans="2:16" x14ac:dyDescent="0.2">
      <c r="B218" s="130" t="str">
        <f>+'Purchased Power Model'!S6</f>
        <v>R Square</v>
      </c>
      <c r="C218" s="127">
        <f>+'Purchased Power Model'!T6</f>
        <v>0.92553105303641303</v>
      </c>
      <c r="D218" s="82">
        <f>SUMIF(Inputs!$A:$A,Summaries!$B218&amp;D$42,Inputs!$M:$M)</f>
        <v>0</v>
      </c>
    </row>
    <row r="219" spans="2:16" x14ac:dyDescent="0.2">
      <c r="B219" s="130" t="str">
        <f>+'Purchased Power Model'!S7</f>
        <v>Adjusted R Square</v>
      </c>
      <c r="C219" s="127">
        <f>+'Purchased Power Model'!T7</f>
        <v>0.91989894780387282</v>
      </c>
      <c r="D219" s="82">
        <f>SUMIF(Inputs!$A:$A,Summaries!$B219&amp;D$42,Inputs!$M:$M)</f>
        <v>0</v>
      </c>
    </row>
    <row r="220" spans="2:16" x14ac:dyDescent="0.2">
      <c r="B220" s="130" t="str">
        <f>+'Purchased Power Model'!S8</f>
        <v>Standard Error</v>
      </c>
      <c r="C220" s="128">
        <f>+'Purchased Power Model'!T8</f>
        <v>418372.43205383013</v>
      </c>
      <c r="D220" s="82">
        <f>SUMIF(Inputs!$A:$A,Summaries!$B220&amp;D$42,Inputs!$M:$M)</f>
        <v>0</v>
      </c>
    </row>
    <row r="221" spans="2:16" x14ac:dyDescent="0.2">
      <c r="B221" s="130" t="str">
        <f>+'Purchased Power Model'!S9</f>
        <v>Observations</v>
      </c>
      <c r="C221" s="75">
        <f>+'Purchased Power Model'!T9</f>
        <v>129</v>
      </c>
      <c r="D221" s="82">
        <f>SUMIF(Inputs!$A:$A,Summaries!$B221&amp;D$42,Inputs!$M:$M)</f>
        <v>0</v>
      </c>
    </row>
    <row r="224" spans="2:16" ht="25.5" x14ac:dyDescent="0.2">
      <c r="B224" s="76"/>
      <c r="C224" s="76" t="str">
        <f>+'Purchased Power Model'!T12</f>
        <v>df</v>
      </c>
      <c r="D224" s="76" t="str">
        <f>+'Purchased Power Model'!U12</f>
        <v>SS</v>
      </c>
      <c r="E224" s="76" t="str">
        <f>+'Purchased Power Model'!V12</f>
        <v>MS</v>
      </c>
      <c r="F224" s="76" t="str">
        <f>+'Purchased Power Model'!W12</f>
        <v>F</v>
      </c>
      <c r="G224" s="76" t="str">
        <f>+'Purchased Power Model'!X12</f>
        <v>Significance F</v>
      </c>
    </row>
    <row r="225" spans="2:10" x14ac:dyDescent="0.2">
      <c r="B225" s="130" t="str">
        <f>+'Purchased Power Model'!S13</f>
        <v>Regression</v>
      </c>
      <c r="C225" s="132">
        <f>+'Purchased Power Model'!T13</f>
        <v>9</v>
      </c>
      <c r="D225" s="132">
        <f>+'Purchased Power Model'!U13</f>
        <v>258874255372703</v>
      </c>
      <c r="E225" s="132">
        <f>+'Purchased Power Model'!V13</f>
        <v>28763806152522.555</v>
      </c>
      <c r="F225" s="131">
        <f>+'Purchased Power Model'!W13</f>
        <v>164.33127841593628</v>
      </c>
      <c r="G225" s="131">
        <f>+'Purchased Power Model'!X13</f>
        <v>9.2964104684484964E-63</v>
      </c>
      <c r="I225" s="47" t="s">
        <v>195</v>
      </c>
    </row>
    <row r="226" spans="2:10" x14ac:dyDescent="0.2">
      <c r="B226" s="130" t="str">
        <f>+'Purchased Power Model'!S14</f>
        <v>Residual</v>
      </c>
      <c r="C226" s="132">
        <f>+'Purchased Power Model'!T14</f>
        <v>119</v>
      </c>
      <c r="D226" s="132">
        <f>+'Purchased Power Model'!U14</f>
        <v>20829223536413.77</v>
      </c>
      <c r="E226" s="132">
        <f>+'Purchased Power Model'!V14</f>
        <v>175035491902.63672</v>
      </c>
      <c r="F226" s="131">
        <f>+'Purchased Power Model'!W14</f>
        <v>0</v>
      </c>
      <c r="G226" s="131">
        <f>+'Purchased Power Model'!X14</f>
        <v>0</v>
      </c>
    </row>
    <row r="227" spans="2:10" x14ac:dyDescent="0.2">
      <c r="B227" s="130" t="str">
        <f>+'Purchased Power Model'!S15</f>
        <v>Total</v>
      </c>
      <c r="C227" s="132">
        <f>+'Purchased Power Model'!T15</f>
        <v>128</v>
      </c>
      <c r="D227" s="132">
        <f>+'Purchased Power Model'!U15</f>
        <v>279703478909116.78</v>
      </c>
      <c r="E227" s="132">
        <f>+'Purchased Power Model'!V15</f>
        <v>0</v>
      </c>
      <c r="F227" s="131">
        <f>+'Purchased Power Model'!W15</f>
        <v>0</v>
      </c>
      <c r="G227" s="131">
        <f>+'Purchased Power Model'!X15</f>
        <v>0</v>
      </c>
    </row>
    <row r="232" spans="2:10" x14ac:dyDescent="0.2">
      <c r="B232" s="250" t="s">
        <v>192</v>
      </c>
      <c r="C232" s="251"/>
      <c r="D232" s="251"/>
      <c r="E232" s="251"/>
      <c r="F232" s="251"/>
      <c r="G232" s="251"/>
      <c r="H232" s="251"/>
      <c r="I232" s="251"/>
      <c r="J232" s="252"/>
    </row>
    <row r="233" spans="2:10" ht="25.5" customHeight="1" x14ac:dyDescent="0.2">
      <c r="B233" s="76" t="s">
        <v>188</v>
      </c>
      <c r="C233" s="76" t="str">
        <f>+'Purchased Power Model'!T17</f>
        <v>Coefficients</v>
      </c>
      <c r="D233" s="76" t="str">
        <f>+'Purchased Power Model'!U17</f>
        <v>Standard Error</v>
      </c>
      <c r="E233" s="76" t="str">
        <f>+'Purchased Power Model'!V17</f>
        <v>t Stat</v>
      </c>
      <c r="F233" s="76" t="str">
        <f>+'Purchased Power Model'!W17</f>
        <v>P-value</v>
      </c>
      <c r="G233" s="76" t="str">
        <f>+'Purchased Power Model'!X17</f>
        <v>Lower 95%</v>
      </c>
      <c r="H233" s="76" t="str">
        <f>+'Purchased Power Model'!Y17</f>
        <v>Upper 95%</v>
      </c>
      <c r="I233" s="76" t="str">
        <f>+'Purchased Power Model'!Z17</f>
        <v>Lower 95.0%</v>
      </c>
      <c r="J233" s="76" t="str">
        <f>+'Purchased Power Model'!AA17</f>
        <v>Upper 95.0%</v>
      </c>
    </row>
    <row r="234" spans="2:10" x14ac:dyDescent="0.2">
      <c r="B234" s="130" t="str">
        <f>+'Purchased Power Model'!S18</f>
        <v>Intercept</v>
      </c>
      <c r="C234" s="129">
        <f>+'Purchased Power Model'!T18</f>
        <v>2059104.3096541483</v>
      </c>
      <c r="D234" s="129">
        <f>+'Purchased Power Model'!U18</f>
        <v>1405762.4346619956</v>
      </c>
      <c r="E234" s="128">
        <f>+'Purchased Power Model'!V18</f>
        <v>1.464759804987422</v>
      </c>
      <c r="F234" s="128">
        <f>+'Purchased Power Model'!W18</f>
        <v>0.14562342492871955</v>
      </c>
      <c r="G234" s="129">
        <f>+'Purchased Power Model'!X18</f>
        <v>-724445.7135478803</v>
      </c>
      <c r="H234" s="129">
        <f>+'Purchased Power Model'!Y18</f>
        <v>4842654.3328561764</v>
      </c>
      <c r="I234" s="129">
        <f>+'Purchased Power Model'!Z18</f>
        <v>-724445.7135478803</v>
      </c>
      <c r="J234" s="129">
        <f>+'Purchased Power Model'!AA18</f>
        <v>4842654.3328561764</v>
      </c>
    </row>
    <row r="235" spans="2:10" x14ac:dyDescent="0.2">
      <c r="B235" s="130" t="str">
        <f>+'Purchased Power Model'!S19</f>
        <v>Heating Degree Days</v>
      </c>
      <c r="C235" s="129">
        <f>+'Purchased Power Model'!T19</f>
        <v>5775.5466782093754</v>
      </c>
      <c r="D235" s="129">
        <f>+'Purchased Power Model'!U19</f>
        <v>259.25164061134342</v>
      </c>
      <c r="E235" s="128">
        <f>+'Purchased Power Model'!V19</f>
        <v>22.277763275055893</v>
      </c>
      <c r="F235" s="128">
        <f>+'Purchased Power Model'!W19</f>
        <v>2.8411554085164421E-44</v>
      </c>
      <c r="G235" s="129">
        <f>+'Purchased Power Model'!X19</f>
        <v>5262.2025366635944</v>
      </c>
      <c r="H235" s="129">
        <f>+'Purchased Power Model'!Y19</f>
        <v>6288.8908197551564</v>
      </c>
      <c r="I235" s="129">
        <f>+'Purchased Power Model'!Z19</f>
        <v>5262.2025366635944</v>
      </c>
      <c r="J235" s="129">
        <f>+'Purchased Power Model'!AA19</f>
        <v>6288.8908197551564</v>
      </c>
    </row>
    <row r="236" spans="2:10" x14ac:dyDescent="0.2">
      <c r="B236" s="130" t="str">
        <f>+'Purchased Power Model'!S20</f>
        <v>Cooling Degree Days</v>
      </c>
      <c r="C236" s="129">
        <f>+'Purchased Power Model'!T20</f>
        <v>24345.377453510173</v>
      </c>
      <c r="D236" s="129">
        <f>+'Purchased Power Model'!U20</f>
        <v>1456.0523035533663</v>
      </c>
      <c r="E236" s="128">
        <f>+'Purchased Power Model'!V20</f>
        <v>16.720125639784673</v>
      </c>
      <c r="F236" s="128">
        <f>+'Purchased Power Model'!W20</f>
        <v>5.0611345966697879E-33</v>
      </c>
      <c r="G236" s="129">
        <f>+'Purchased Power Model'!X20</f>
        <v>21462.248467129306</v>
      </c>
      <c r="H236" s="129">
        <f>+'Purchased Power Model'!Y20</f>
        <v>27228.50643989104</v>
      </c>
      <c r="I236" s="129">
        <f>+'Purchased Power Model'!Z20</f>
        <v>21462.248467129306</v>
      </c>
      <c r="J236" s="129">
        <f>+'Purchased Power Model'!AA20</f>
        <v>27228.50643989104</v>
      </c>
    </row>
    <row r="237" spans="2:10" x14ac:dyDescent="0.2">
      <c r="B237" s="130" t="s">
        <v>193</v>
      </c>
      <c r="C237" s="129">
        <f>+'Purchased Power Model'!T21</f>
        <v>421184.08835954173</v>
      </c>
      <c r="D237" s="129">
        <f>+'Purchased Power Model'!U21</f>
        <v>52456.899630741755</v>
      </c>
      <c r="E237" s="128">
        <f>+'Purchased Power Model'!V21</f>
        <v>8.0291456667162944</v>
      </c>
      <c r="F237" s="128">
        <f>+'Purchased Power Model'!W21</f>
        <v>7.8938776359641301E-13</v>
      </c>
      <c r="G237" s="129">
        <f>+'Purchased Power Model'!X21</f>
        <v>317314.18788139574</v>
      </c>
      <c r="H237" s="129">
        <f>+'Purchased Power Model'!Y21</f>
        <v>525053.98883768776</v>
      </c>
      <c r="I237" s="129">
        <f>+'Purchased Power Model'!Z21</f>
        <v>317314.18788139574</v>
      </c>
      <c r="J237" s="129">
        <f>+'Purchased Power Model'!AA21</f>
        <v>525053.98883768776</v>
      </c>
    </row>
    <row r="238" spans="2:10" x14ac:dyDescent="0.2">
      <c r="B238" s="130" t="str">
        <f>+'Purchased Power Model'!S22</f>
        <v>Spring Fall Flag</v>
      </c>
      <c r="C238" s="129">
        <f>+'Purchased Power Model'!T22</f>
        <v>-536113.80742429639</v>
      </c>
      <c r="D238" s="129">
        <f>+'Purchased Power Model'!U22</f>
        <v>127428.21014693625</v>
      </c>
      <c r="E238" s="128">
        <f>+'Purchased Power Model'!V22</f>
        <v>-4.2071830625738889</v>
      </c>
      <c r="F238" s="128">
        <f>+'Purchased Power Model'!W22</f>
        <v>5.039702188395719E-5</v>
      </c>
      <c r="G238" s="129">
        <f>+'Purchased Power Model'!X22</f>
        <v>-788434.39059337415</v>
      </c>
      <c r="H238" s="129">
        <f>+'Purchased Power Model'!Y22</f>
        <v>-283793.22425521864</v>
      </c>
      <c r="I238" s="129">
        <f>+'Purchased Power Model'!Z22</f>
        <v>-788434.39059337415</v>
      </c>
      <c r="J238" s="129">
        <f>+'Purchased Power Model'!AA22</f>
        <v>-283793.22425521864</v>
      </c>
    </row>
    <row r="239" spans="2:10" x14ac:dyDescent="0.2">
      <c r="B239" s="130" t="s">
        <v>194</v>
      </c>
      <c r="C239" s="129">
        <f>+'Purchased Power Model'!T23</f>
        <v>11189.535972602769</v>
      </c>
      <c r="D239" s="129">
        <f>+'Purchased Power Model'!U23</f>
        <v>2439.0467665497476</v>
      </c>
      <c r="E239" s="128">
        <f>+'Purchased Power Model'!V23</f>
        <v>4.5876676601947164</v>
      </c>
      <c r="F239" s="128">
        <f>+'Purchased Power Model'!W23</f>
        <v>1.117480938233171E-5</v>
      </c>
      <c r="G239" s="129">
        <f>+'Purchased Power Model'!X23</f>
        <v>6359.9797714849083</v>
      </c>
      <c r="H239" s="129">
        <f>+'Purchased Power Model'!Y23</f>
        <v>16019.09217372063</v>
      </c>
      <c r="I239" s="129">
        <f>+'Purchased Power Model'!Z23</f>
        <v>6359.9797714849083</v>
      </c>
      <c r="J239" s="129">
        <f>+'Purchased Power Model'!AA23</f>
        <v>16019.09217372063</v>
      </c>
    </row>
    <row r="240" spans="2:10" x14ac:dyDescent="0.2">
      <c r="B240" s="130" t="str">
        <f>+'Purchased Power Model'!S24</f>
        <v>covid-19a</v>
      </c>
      <c r="C240" s="129">
        <f>+'Purchased Power Model'!T24</f>
        <v>-37386.467023977246</v>
      </c>
      <c r="D240" s="129">
        <f>+'Purchased Power Model'!U24</f>
        <v>118125.91064410689</v>
      </c>
      <c r="E240" s="128">
        <f>+'Purchased Power Model'!V24</f>
        <v>-0.31649675181439457</v>
      </c>
      <c r="F240" s="128">
        <f>+'Purchased Power Model'!W24</f>
        <v>0.75218000446036948</v>
      </c>
      <c r="G240" s="129">
        <f>+'Purchased Power Model'!X24</f>
        <v>-271287.56809673714</v>
      </c>
      <c r="H240" s="129">
        <f>+'Purchased Power Model'!Y24</f>
        <v>196514.63404878264</v>
      </c>
      <c r="I240" s="129">
        <f>+'Purchased Power Model'!Z24</f>
        <v>-271287.56809673714</v>
      </c>
      <c r="J240" s="129">
        <f>+'Purchased Power Model'!AA24</f>
        <v>196514.63404878264</v>
      </c>
    </row>
    <row r="241" spans="2:10" x14ac:dyDescent="0.2">
      <c r="B241" s="130" t="str">
        <f>+'Purchased Power Model'!S25</f>
        <v>covid-19b</v>
      </c>
      <c r="C241" s="129">
        <f>+'Purchased Power Model'!T25</f>
        <v>407469.95693033712</v>
      </c>
      <c r="D241" s="129">
        <f>+'Purchased Power Model'!U25</f>
        <v>151968.42002560635</v>
      </c>
      <c r="E241" s="128">
        <f>+'Purchased Power Model'!V25</f>
        <v>2.6812804717037877</v>
      </c>
      <c r="F241" s="128">
        <f>+'Purchased Power Model'!W25</f>
        <v>8.3756336643793332E-3</v>
      </c>
      <c r="G241" s="129">
        <f>+'Purchased Power Model'!X25</f>
        <v>106557.3072122772</v>
      </c>
      <c r="H241" s="129">
        <f>+'Purchased Power Model'!Y25</f>
        <v>708382.60664839705</v>
      </c>
      <c r="I241" s="129">
        <f>+'Purchased Power Model'!Z25</f>
        <v>106557.3072122772</v>
      </c>
      <c r="J241" s="129">
        <f>+'Purchased Power Model'!AA25</f>
        <v>708382.60664839705</v>
      </c>
    </row>
    <row r="243" spans="2:10" x14ac:dyDescent="0.2">
      <c r="B243" s="47" t="s">
        <v>196</v>
      </c>
    </row>
    <row r="244" spans="2:10" ht="38.25" x14ac:dyDescent="0.2">
      <c r="B244" s="95" t="s">
        <v>111</v>
      </c>
      <c r="C244" s="76" t="s">
        <v>100</v>
      </c>
      <c r="D244" s="76" t="s">
        <v>112</v>
      </c>
      <c r="E244" s="96" t="s">
        <v>113</v>
      </c>
      <c r="F244" s="96" t="s">
        <v>114</v>
      </c>
      <c r="G244" s="96" t="s">
        <v>68</v>
      </c>
      <c r="H244" s="76" t="s">
        <v>197</v>
      </c>
      <c r="I244" s="96" t="s">
        <v>11</v>
      </c>
    </row>
    <row r="245" spans="2:10" x14ac:dyDescent="0.2">
      <c r="B245" s="88" t="s">
        <v>184</v>
      </c>
      <c r="C245" s="135">
        <v>1.0118E-2</v>
      </c>
      <c r="D245" s="135">
        <v>1.0147E-2</v>
      </c>
      <c r="E245" s="135">
        <v>9.8689999999999993E-3</v>
      </c>
      <c r="F245" s="135">
        <v>1.0102999999999999E-2</v>
      </c>
      <c r="G245" s="135">
        <v>9.9520000000000008E-3</v>
      </c>
      <c r="H245" s="135">
        <v>9.7599999999999996E-3</v>
      </c>
      <c r="I245" s="135">
        <f t="shared" ref="I245:I257" si="52">SUM(C245:H245)</f>
        <v>5.9948999999999995E-2</v>
      </c>
    </row>
    <row r="246" spans="2:10" x14ac:dyDescent="0.2">
      <c r="B246" s="75">
        <f t="shared" ref="B246:B253" si="53">+B247-1</f>
        <v>2013</v>
      </c>
      <c r="C246" s="134"/>
      <c r="D246" s="134"/>
      <c r="E246" s="134"/>
      <c r="F246" s="134"/>
      <c r="G246" s="134"/>
      <c r="H246" s="134"/>
      <c r="I246" s="134"/>
    </row>
    <row r="247" spans="2:10" x14ac:dyDescent="0.2">
      <c r="B247" s="75">
        <f t="shared" si="53"/>
        <v>2014</v>
      </c>
      <c r="C247" s="134">
        <f>+'Rate Class Customer Model'!B26/100</f>
        <v>1.0129836215408972E-2</v>
      </c>
      <c r="D247" s="134">
        <f>+'Rate Class Customer Model'!C26/100</f>
        <v>1.0139538335931121E-2</v>
      </c>
      <c r="E247" s="134">
        <f>+'Rate Class Customer Model'!D26/100</f>
        <v>1.0594919786096257E-2</v>
      </c>
      <c r="F247" s="134">
        <f>+'Rate Class Customer Model'!E26/100</f>
        <v>1.0146582182380938E-2</v>
      </c>
      <c r="G247" s="134">
        <f>+'Rate Class Customer Model'!F26/100</f>
        <v>9.754273504273504E-3</v>
      </c>
      <c r="H247" s="134">
        <f>+'Rate Class Customer Model'!G26/100</f>
        <v>1.0024096385542169E-2</v>
      </c>
      <c r="I247" s="134">
        <f t="shared" si="52"/>
        <v>6.0789246409632965E-2</v>
      </c>
    </row>
    <row r="248" spans="2:10" x14ac:dyDescent="0.2">
      <c r="B248" s="75">
        <f t="shared" si="53"/>
        <v>2015</v>
      </c>
      <c r="C248" s="134">
        <f>+'Rate Class Customer Model'!B27/100</f>
        <v>1.0152662531217273E-2</v>
      </c>
      <c r="D248" s="134">
        <f>+'Rate Class Customer Model'!C27/100</f>
        <v>9.9590073933094204E-3</v>
      </c>
      <c r="E248" s="134">
        <f>+'Rate Class Customer Model'!D27/100</f>
        <v>1.0504731861198737E-2</v>
      </c>
      <c r="F248" s="134">
        <f>+'Rate Class Customer Model'!E27/100</f>
        <v>1.0070793404126737E-2</v>
      </c>
      <c r="G248" s="134">
        <f>+'Rate Class Customer Model'!F27/100</f>
        <v>9.9123767798466617E-3</v>
      </c>
      <c r="H248" s="134">
        <f>+'Rate Class Customer Model'!G27/100</f>
        <v>9.2788461538461549E-3</v>
      </c>
      <c r="I248" s="134">
        <f t="shared" si="52"/>
        <v>5.9878418123544982E-2</v>
      </c>
    </row>
    <row r="249" spans="2:10" x14ac:dyDescent="0.2">
      <c r="B249" s="75">
        <f t="shared" si="53"/>
        <v>2016</v>
      </c>
      <c r="C249" s="134">
        <f>+'Rate Class Customer Model'!B28/100</f>
        <v>1.0125689347351717E-2</v>
      </c>
      <c r="D249" s="134">
        <f>+'Rate Class Customer Model'!C28/100</f>
        <v>9.994119808893788E-3</v>
      </c>
      <c r="E249" s="134">
        <f>+'Rate Class Customer Model'!D28/100</f>
        <v>1.0084084084084084E-2</v>
      </c>
      <c r="F249" s="134">
        <f>+'Rate Class Customer Model'!E28/100</f>
        <v>9.7805400771538778E-3</v>
      </c>
      <c r="G249" s="134">
        <f>+'Rate Class Customer Model'!F28/100</f>
        <v>1.0104972375690606E-2</v>
      </c>
      <c r="H249" s="134">
        <f>+'Rate Class Customer Model'!G28/100</f>
        <v>1.005181347150259E-2</v>
      </c>
      <c r="I249" s="134">
        <f t="shared" si="52"/>
        <v>6.0141219164676671E-2</v>
      </c>
    </row>
    <row r="250" spans="2:10" x14ac:dyDescent="0.2">
      <c r="B250" s="75">
        <f t="shared" si="53"/>
        <v>2017</v>
      </c>
      <c r="C250" s="134">
        <f>+'Rate Class Customer Model'!B29/100</f>
        <v>1.0261972117954061E-2</v>
      </c>
      <c r="D250" s="134">
        <f>+'Rate Class Customer Model'!C29/100</f>
        <v>1.0088990218430538E-2</v>
      </c>
      <c r="E250" s="134">
        <f>+'Rate Class Customer Model'!D29/100</f>
        <v>9.6009529481834444E-3</v>
      </c>
      <c r="F250" s="134">
        <f>+'Rate Class Customer Model'!E29/100</f>
        <v>1.0085897098781665E-2</v>
      </c>
      <c r="G250" s="134">
        <f>+'Rate Class Customer Model'!F29/100</f>
        <v>9.8961180973209419E-3</v>
      </c>
      <c r="H250" s="134">
        <f>+'Rate Class Customer Model'!G29/100</f>
        <v>0.01</v>
      </c>
      <c r="I250" s="134">
        <f t="shared" si="52"/>
        <v>5.9933930480670659E-2</v>
      </c>
    </row>
    <row r="251" spans="2:10" x14ac:dyDescent="0.2">
      <c r="B251" s="75">
        <f t="shared" si="53"/>
        <v>2018</v>
      </c>
      <c r="C251" s="134">
        <f>+'Rate Class Customer Model'!B30/100</f>
        <v>1.0280789907752459E-2</v>
      </c>
      <c r="D251" s="134">
        <f>+'Rate Class Customer Model'!C30/100</f>
        <v>1.0099139816299752E-2</v>
      </c>
      <c r="E251" s="134">
        <f>+'Rate Class Customer Model'!D30/100</f>
        <v>1.0117866004962776E-2</v>
      </c>
      <c r="F251" s="134">
        <f>+'Rate Class Customer Model'!E30/100</f>
        <v>1.0080820370209439E-2</v>
      </c>
      <c r="G251" s="134">
        <f>+'Rate Class Customer Model'!F30/100</f>
        <v>1.0187845303867403E-2</v>
      </c>
      <c r="H251" s="134">
        <f>+'Rate Class Customer Model'!G30/100</f>
        <v>0.01</v>
      </c>
      <c r="I251" s="134">
        <f t="shared" si="52"/>
        <v>6.0766461403091832E-2</v>
      </c>
    </row>
    <row r="252" spans="2:10" x14ac:dyDescent="0.2">
      <c r="B252" s="75">
        <f t="shared" si="53"/>
        <v>2019</v>
      </c>
      <c r="C252" s="134">
        <f>+'Rate Class Customer Model'!B31/100</f>
        <v>1.0104212316811386E-2</v>
      </c>
      <c r="D252" s="134">
        <f>+'Rate Class Customer Model'!C31/100</f>
        <v>1.0083008517395697E-2</v>
      </c>
      <c r="E252" s="134">
        <f>+'Rate Class Customer Model'!D31/100</f>
        <v>9.7302268546903756E-3</v>
      </c>
      <c r="F252" s="134">
        <f>+'Rate Class Customer Model'!E31/100</f>
        <v>1.0134482758620689E-2</v>
      </c>
      <c r="G252" s="134">
        <f>+'Rate Class Customer Model'!F31/100</f>
        <v>1.0119305856832971E-2</v>
      </c>
      <c r="H252" s="134">
        <f>+'Rate Class Customer Model'!G31/100</f>
        <v>0.01</v>
      </c>
      <c r="I252" s="134">
        <f t="shared" si="52"/>
        <v>6.0171236304351124E-2</v>
      </c>
    </row>
    <row r="253" spans="2:10" x14ac:dyDescent="0.2">
      <c r="B253" s="75">
        <f t="shared" si="53"/>
        <v>2020</v>
      </c>
      <c r="C253" s="134">
        <f>+'Rate Class Customer Model'!B32/100</f>
        <v>1.004050517525288E-2</v>
      </c>
      <c r="D253" s="134">
        <f>+'Rate Class Customer Model'!C32/100</f>
        <v>9.9978523874293072E-3</v>
      </c>
      <c r="E253" s="134">
        <f>+'Rate Class Customer Model'!D32/100</f>
        <v>9.2312539382482673E-3</v>
      </c>
      <c r="F253" s="134">
        <f>+'Rate Class Customer Model'!E32/100</f>
        <v>1.001757967562663E-2</v>
      </c>
      <c r="G253" s="134">
        <f>+'Rate Class Customer Model'!F32/100</f>
        <v>1.0139335476956056E-2</v>
      </c>
      <c r="H253" s="134">
        <f>+'Rate Class Customer Model'!G32/100</f>
        <v>0.01</v>
      </c>
      <c r="I253" s="134">
        <f t="shared" si="52"/>
        <v>5.942652665351314E-2</v>
      </c>
    </row>
    <row r="254" spans="2:10" x14ac:dyDescent="0.2">
      <c r="B254" s="75">
        <f>+B255-1</f>
        <v>2021</v>
      </c>
      <c r="C254" s="134">
        <f>+'Rate Class Customer Model'!B33/100</f>
        <v>1.007629060717659E-2</v>
      </c>
      <c r="D254" s="134">
        <f>+'Rate Class Customer Model'!C33/100</f>
        <v>1.0023628812831163E-2</v>
      </c>
      <c r="E254" s="134">
        <f>+'Rate Class Customer Model'!D33/100</f>
        <v>1.0320819112627985E-2</v>
      </c>
      <c r="F254" s="134">
        <f>+'Rate Class Customer Model'!E33/100</f>
        <v>1.007387489385791E-2</v>
      </c>
      <c r="G254" s="134">
        <f>+'Rate Class Customer Model'!F33/100</f>
        <v>1.0021141649048626E-2</v>
      </c>
      <c r="H254" s="134">
        <f>+'Rate Class Customer Model'!G33/100</f>
        <v>1.0103092783505154E-2</v>
      </c>
      <c r="I254" s="134">
        <f t="shared" si="52"/>
        <v>6.061884785904742E-2</v>
      </c>
    </row>
    <row r="255" spans="2:10" x14ac:dyDescent="0.2">
      <c r="B255" s="75">
        <v>2022</v>
      </c>
      <c r="C255" s="134">
        <f>+'Rate Class Customer Model'!B34/100</f>
        <v>1.0050136239782017E-2</v>
      </c>
      <c r="D255" s="134">
        <f>+'Rate Class Customer Model'!C34/100</f>
        <v>9.9992856632616627E-3</v>
      </c>
      <c r="E255" s="134">
        <f>+'Rate Class Customer Model'!D34/100</f>
        <v>9.9801587301587297E-3</v>
      </c>
      <c r="F255" s="134">
        <f>+'Rate Class Customer Model'!E34/100</f>
        <v>1.0064342108960131E-2</v>
      </c>
      <c r="G255" s="134">
        <f>+'Rate Class Customer Model'!F34/100</f>
        <v>9.9525316455696192E-3</v>
      </c>
      <c r="H255" s="134">
        <f>+'Rate Class Customer Model'!G34/100</f>
        <v>0.01</v>
      </c>
      <c r="I255" s="134">
        <f t="shared" si="52"/>
        <v>6.0046454387732158E-2</v>
      </c>
    </row>
    <row r="256" spans="2:10" x14ac:dyDescent="0.2">
      <c r="B256" s="88" t="str">
        <f>+B210</f>
        <v>2023 Bridge</v>
      </c>
      <c r="C256" s="135">
        <f>+('Rate Class Customer Model'!B21-'Rate Class Customer Model'!B20)/'Rate Class Customer Model'!B20</f>
        <v>7.4973791707334181E-3</v>
      </c>
      <c r="D256" s="135">
        <f>+('Rate Class Customer Model'!C21-'Rate Class Customer Model'!C20)/'Rate Class Customer Model'!C20</f>
        <v>-1.9288469781397343E-3</v>
      </c>
      <c r="E256" s="135">
        <f>+('Rate Class Customer Model'!D21-'Rate Class Customer Model'!D20)/'Rate Class Customer Model'!D20</f>
        <v>1.9880715705765406E-3</v>
      </c>
      <c r="F256" s="135">
        <f>+('Rate Class Customer Model'!E21-'Rate Class Customer Model'!E20)/'Rate Class Customer Model'!E20</f>
        <v>-7.3701842546063647E-3</v>
      </c>
      <c r="G256" s="135">
        <f>+('Rate Class Customer Model'!F21-'Rate Class Customer Model'!F20)/'Rate Class Customer Model'!F20</f>
        <v>-1.589825119236884E-3</v>
      </c>
      <c r="H256" s="135">
        <f>+('Rate Class Customer Model'!G21-'Rate Class Customer Model'!G20)/'Rate Class Customer Model'!G20</f>
        <v>-1.020408163265306E-2</v>
      </c>
      <c r="I256" s="135">
        <f t="shared" si="52"/>
        <v>-1.1607487243326086E-2</v>
      </c>
    </row>
    <row r="257" spans="2:9" x14ac:dyDescent="0.2">
      <c r="B257" s="88" t="str">
        <f>+B211</f>
        <v>2024 Test</v>
      </c>
      <c r="C257" s="135">
        <f>+('Rate Class Customer Model'!B22-'Rate Class Customer Model'!B21)/'Rate Class Customer Model'!B21</f>
        <v>1.1008094609334688E-2</v>
      </c>
      <c r="D257" s="135">
        <f>+('Rate Class Customer Model'!C22-'Rate Class Customer Model'!C21)/'Rate Class Customer Model'!C21</f>
        <v>3.636201989584946E-3</v>
      </c>
      <c r="E257" s="135">
        <f>+('Rate Class Customer Model'!D22-'Rate Class Customer Model'!D21)/'Rate Class Customer Model'!D21</f>
        <v>1.0644058988085075E-3</v>
      </c>
      <c r="F257" s="135">
        <f>+('Rate Class Customer Model'!E22-'Rate Class Customer Model'!E21)/'Rate Class Customer Model'!E21</f>
        <v>3.7580386604306368E-3</v>
      </c>
      <c r="G257" s="135">
        <f>+('Rate Class Customer Model'!F22-'Rate Class Customer Model'!F21)/'Rate Class Customer Model'!F21</f>
        <v>6.3918400096474597E-4</v>
      </c>
      <c r="H257" s="135">
        <f>+('Rate Class Customer Model'!G22-'Rate Class Customer Model'!G21)/'Rate Class Customer Model'!G21</f>
        <v>-6.7047403141952816E-3</v>
      </c>
      <c r="I257" s="135">
        <f t="shared" si="52"/>
        <v>1.3401184844928242E-2</v>
      </c>
    </row>
    <row r="259" spans="2:9" x14ac:dyDescent="0.2">
      <c r="B259" s="47" t="s">
        <v>198</v>
      </c>
    </row>
    <row r="260" spans="2:9" ht="38.25" x14ac:dyDescent="0.2">
      <c r="B260" s="95" t="s">
        <v>111</v>
      </c>
      <c r="C260" s="76" t="s">
        <v>100</v>
      </c>
      <c r="D260" s="76" t="s">
        <v>112</v>
      </c>
      <c r="E260" s="96" t="s">
        <v>113</v>
      </c>
      <c r="F260" s="96" t="s">
        <v>114</v>
      </c>
      <c r="G260" s="96" t="s">
        <v>68</v>
      </c>
      <c r="H260" s="76" t="s">
        <v>197</v>
      </c>
      <c r="I260" s="96" t="s">
        <v>11</v>
      </c>
    </row>
    <row r="261" spans="2:9" x14ac:dyDescent="0.2">
      <c r="B261" s="88" t="s">
        <v>184</v>
      </c>
      <c r="C261" s="88">
        <f>+C28/C50</f>
        <v>8743.6710895883771</v>
      </c>
      <c r="D261" s="88">
        <f>+D28/D50</f>
        <v>33022.709903593342</v>
      </c>
      <c r="E261" s="88">
        <f>+E28/E50</f>
        <v>981725.1048387097</v>
      </c>
      <c r="F261" s="88">
        <f>+G28/F50</f>
        <v>648.64738675958188</v>
      </c>
      <c r="G261" s="88">
        <f>+I28/G50</f>
        <v>790.55483870967737</v>
      </c>
      <c r="H261" s="88">
        <f>+K28/H50</f>
        <v>3445.2307692307691</v>
      </c>
      <c r="I261" s="88">
        <f>SUM(C261:G261)</f>
        <v>1024930.6880573607</v>
      </c>
    </row>
    <row r="262" spans="2:9" x14ac:dyDescent="0.2">
      <c r="B262" s="75">
        <f t="shared" ref="B262:B269" si="54">+B263-1</f>
        <v>2013</v>
      </c>
      <c r="C262" s="82">
        <f>+'Rate Class Energy Model'!H3/'Rate Class Customer Model'!B11</f>
        <v>8441.6156567235339</v>
      </c>
      <c r="D262" s="82">
        <f>+'Rate Class Energy Model'!I3/'Rate Class Customer Model'!C11</f>
        <v>32464.84238859051</v>
      </c>
      <c r="E262" s="82">
        <f>+'Rate Class Energy Model'!J3/'Rate Class Customer Model'!D11</f>
        <v>961642.47948802134</v>
      </c>
      <c r="F262" s="82">
        <f>+'Rate Class Energy Model'!K3/'Rate Class Customer Model'!E11</f>
        <v>600.22010470319867</v>
      </c>
      <c r="G262" s="82">
        <f>+'Rate Class Energy Model'!L3/'Rate Class Customer Model'!F11</f>
        <v>679.56096787267495</v>
      </c>
      <c r="H262" s="82">
        <f>+'Rate Class Energy Model'!M3/'Rate Class Customer Model'!G11</f>
        <v>3705.1521234254851</v>
      </c>
      <c r="I262" s="82">
        <f t="shared" ref="I262:I271" si="55">SUM(C262:H262)</f>
        <v>1007533.8707293367</v>
      </c>
    </row>
    <row r="263" spans="2:9" x14ac:dyDescent="0.2">
      <c r="B263" s="75">
        <f t="shared" si="54"/>
        <v>2014</v>
      </c>
      <c r="C263" s="82">
        <f>+'Rate Class Energy Model'!H4/'Rate Class Customer Model'!B12</f>
        <v>8296.1306744126869</v>
      </c>
      <c r="D263" s="82">
        <f>+'Rate Class Energy Model'!I4/'Rate Class Customer Model'!C12</f>
        <v>31109.482219058606</v>
      </c>
      <c r="E263" s="82">
        <f>+'Rate Class Energy Model'!J4/'Rate Class Customer Model'!D12</f>
        <v>931395.95057029626</v>
      </c>
      <c r="F263" s="82">
        <f>+'Rate Class Energy Model'!K4/'Rate Class Customer Model'!E12</f>
        <v>597.99414048054439</v>
      </c>
      <c r="G263" s="82">
        <f>+'Rate Class Energy Model'!L4/'Rate Class Customer Model'!F12</f>
        <v>690.90819995100026</v>
      </c>
      <c r="H263" s="82">
        <f>+'Rate Class Energy Model'!M4/'Rate Class Customer Model'!G12</f>
        <v>3713.878478167192</v>
      </c>
      <c r="I263" s="82">
        <f t="shared" si="55"/>
        <v>975804.34428236634</v>
      </c>
    </row>
    <row r="264" spans="2:9" x14ac:dyDescent="0.2">
      <c r="B264" s="75">
        <f t="shared" si="54"/>
        <v>2015</v>
      </c>
      <c r="C264" s="82">
        <f>+'Rate Class Energy Model'!H5/'Rate Class Customer Model'!B13</f>
        <v>8181.8450674479363</v>
      </c>
      <c r="D264" s="82">
        <f>+'Rate Class Energy Model'!I5/'Rate Class Customer Model'!C13</f>
        <v>30137.31144761934</v>
      </c>
      <c r="E264" s="82">
        <f>+'Rate Class Energy Model'!J5/'Rate Class Customer Model'!D13</f>
        <v>895611.14365245611</v>
      </c>
      <c r="F264" s="82">
        <f>+'Rate Class Energy Model'!K5/'Rate Class Customer Model'!E13</f>
        <v>558.87724988695288</v>
      </c>
      <c r="G264" s="82">
        <f>+'Rate Class Energy Model'!L5/'Rate Class Customer Model'!F13</f>
        <v>689.70163635559788</v>
      </c>
      <c r="H264" s="82">
        <f>+'Rate Class Energy Model'!M5/'Rate Class Customer Model'!G13</f>
        <v>3963.8735942540575</v>
      </c>
      <c r="I264" s="82">
        <f t="shared" si="55"/>
        <v>939142.75264802005</v>
      </c>
    </row>
    <row r="265" spans="2:9" x14ac:dyDescent="0.2">
      <c r="B265" s="75">
        <f t="shared" si="54"/>
        <v>2016</v>
      </c>
      <c r="C265" s="82">
        <f>+'Rate Class Energy Model'!H6/'Rate Class Customer Model'!B14</f>
        <v>8107.3457561099121</v>
      </c>
      <c r="D265" s="82">
        <f>+'Rate Class Energy Model'!I6/'Rate Class Customer Model'!C14</f>
        <v>30408.741363678313</v>
      </c>
      <c r="E265" s="82">
        <f>+'Rate Class Energy Model'!J6/'Rate Class Customer Model'!D14</f>
        <v>903916.53421377053</v>
      </c>
      <c r="F265" s="82">
        <f>+'Rate Class Energy Model'!K6/'Rate Class Customer Model'!E14</f>
        <v>312.26543865873219</v>
      </c>
      <c r="G265" s="82">
        <f>+'Rate Class Energy Model'!L6/'Rate Class Customer Model'!F14</f>
        <v>692.60751467140778</v>
      </c>
      <c r="H265" s="82">
        <f>+'Rate Class Energy Model'!M6/'Rate Class Customer Model'!G14</f>
        <v>4137.9702720358418</v>
      </c>
      <c r="I265" s="82">
        <f t="shared" si="55"/>
        <v>947575.46455892478</v>
      </c>
    </row>
    <row r="266" spans="2:9" x14ac:dyDescent="0.2">
      <c r="B266" s="75">
        <f t="shared" si="54"/>
        <v>2017</v>
      </c>
      <c r="C266" s="82">
        <f>+'Rate Class Energy Model'!H7/'Rate Class Customer Model'!B15</f>
        <v>7686.3580508743571</v>
      </c>
      <c r="D266" s="82">
        <f>+'Rate Class Energy Model'!I7/'Rate Class Customer Model'!C15</f>
        <v>30080.55308483015</v>
      </c>
      <c r="E266" s="82">
        <f>+'Rate Class Energy Model'!J7/'Rate Class Customer Model'!D15</f>
        <v>930528.89134014328</v>
      </c>
      <c r="F266" s="82">
        <f>+'Rate Class Energy Model'!K7/'Rate Class Customer Model'!E15</f>
        <v>300.09372341499289</v>
      </c>
      <c r="G266" s="82">
        <f>+'Rate Class Energy Model'!L7/'Rate Class Customer Model'!F15</f>
        <v>685.4001215564499</v>
      </c>
      <c r="H266" s="82">
        <f>+'Rate Class Energy Model'!M7/'Rate Class Customer Model'!G15</f>
        <v>3923.8101795534621</v>
      </c>
      <c r="I266" s="82">
        <f t="shared" si="55"/>
        <v>973205.10650037276</v>
      </c>
    </row>
    <row r="267" spans="2:9" x14ac:dyDescent="0.2">
      <c r="B267" s="75">
        <f t="shared" si="54"/>
        <v>2018</v>
      </c>
      <c r="C267" s="82">
        <f>+'Rate Class Energy Model'!H8/'Rate Class Customer Model'!B16</f>
        <v>8174.414077546342</v>
      </c>
      <c r="D267" s="82">
        <f>+'Rate Class Energy Model'!I8/'Rate Class Customer Model'!C16</f>
        <v>30974.406775061478</v>
      </c>
      <c r="E267" s="82">
        <f>+'Rate Class Energy Model'!J8/'Rate Class Customer Model'!D16</f>
        <v>941240.69178741658</v>
      </c>
      <c r="F267" s="82">
        <f>+'Rate Class Energy Model'!K8/'Rate Class Customer Model'!E16</f>
        <v>300.3122135621436</v>
      </c>
      <c r="G267" s="82">
        <f>+'Rate Class Energy Model'!L8/'Rate Class Customer Model'!F16</f>
        <v>666.53545792293096</v>
      </c>
      <c r="H267" s="82">
        <f>+'Rate Class Energy Model'!M8/'Rate Class Customer Model'!G16</f>
        <v>3869.4761360026027</v>
      </c>
      <c r="I267" s="82">
        <f t="shared" si="55"/>
        <v>985225.83644751215</v>
      </c>
    </row>
    <row r="268" spans="2:9" x14ac:dyDescent="0.2">
      <c r="B268" s="75">
        <f t="shared" si="54"/>
        <v>2019</v>
      </c>
      <c r="C268" s="82">
        <f>+'Rate Class Energy Model'!H9/'Rate Class Customer Model'!B17</f>
        <v>7867.0115799995665</v>
      </c>
      <c r="D268" s="82">
        <f>+'Rate Class Energy Model'!I9/'Rate Class Customer Model'!C17</f>
        <v>30017.391148921321</v>
      </c>
      <c r="E268" s="82">
        <f>+'Rate Class Energy Model'!J9/'Rate Class Customer Model'!D17</f>
        <v>962126.51653542591</v>
      </c>
      <c r="F268" s="82">
        <f>+'Rate Class Energy Model'!K9/'Rate Class Customer Model'!E17</f>
        <v>300.6002631051071</v>
      </c>
      <c r="G268" s="82">
        <f>+'Rate Class Energy Model'!L9/'Rate Class Customer Model'!F17</f>
        <v>660.80112504912438</v>
      </c>
      <c r="H268" s="82">
        <f>+'Rate Class Energy Model'!M9/'Rate Class Customer Model'!G17</f>
        <v>3869.4761360026027</v>
      </c>
      <c r="I268" s="82">
        <f t="shared" si="55"/>
        <v>1004841.7967885036</v>
      </c>
    </row>
    <row r="269" spans="2:9" x14ac:dyDescent="0.2">
      <c r="B269" s="75">
        <f t="shared" si="54"/>
        <v>2020</v>
      </c>
      <c r="C269" s="82">
        <f>+'Rate Class Energy Model'!H10/'Rate Class Customer Model'!B18</f>
        <v>8398.1521551963287</v>
      </c>
      <c r="D269" s="82">
        <f>+'Rate Class Energy Model'!I10/'Rate Class Customer Model'!C18</f>
        <v>28895.551451456635</v>
      </c>
      <c r="E269" s="82">
        <f>+'Rate Class Energy Model'!J10/'Rate Class Customer Model'!D18</f>
        <v>1013820.8053886418</v>
      </c>
      <c r="F269" s="82">
        <f>+'Rate Class Energy Model'!K10/'Rate Class Customer Model'!E18</f>
        <v>299.47035938199656</v>
      </c>
      <c r="G269" s="82">
        <f>+'Rate Class Energy Model'!L10/'Rate Class Customer Model'!F18</f>
        <v>651.72633939638695</v>
      </c>
      <c r="H269" s="82">
        <f>+'Rate Class Energy Model'!M10/'Rate Class Customer Model'!G18</f>
        <v>3869.4761360026027</v>
      </c>
      <c r="I269" s="82">
        <f t="shared" si="55"/>
        <v>1055935.1818300758</v>
      </c>
    </row>
    <row r="270" spans="2:9" x14ac:dyDescent="0.2">
      <c r="B270" s="75">
        <f>+B271-1</f>
        <v>2021</v>
      </c>
      <c r="C270" s="82">
        <f>+'Rate Class Energy Model'!H11/'Rate Class Customer Model'!B19</f>
        <v>8290.9929640281935</v>
      </c>
      <c r="D270" s="82">
        <f>+'Rate Class Energy Model'!I11/'Rate Class Customer Model'!C19</f>
        <v>28745.078301859925</v>
      </c>
      <c r="E270" s="82">
        <f>+'Rate Class Energy Model'!J11/'Rate Class Customer Model'!D19</f>
        <v>1037774.4993636761</v>
      </c>
      <c r="F270" s="82">
        <f>+'Rate Class Energy Model'!K11/'Rate Class Customer Model'!E19</f>
        <v>293.37231286603247</v>
      </c>
      <c r="G270" s="82">
        <f>+'Rate Class Energy Model'!L11/'Rate Class Customer Model'!F19</f>
        <v>648.57475673279794</v>
      </c>
      <c r="H270" s="82">
        <f>+'Rate Class Energy Model'!M11/'Rate Class Customer Model'!G19</f>
        <v>3829.9916856352293</v>
      </c>
      <c r="I270" s="82">
        <f t="shared" si="55"/>
        <v>1079582.5093847981</v>
      </c>
    </row>
    <row r="271" spans="2:9" x14ac:dyDescent="0.2">
      <c r="B271" s="75">
        <v>2022</v>
      </c>
      <c r="C271" s="82">
        <f>+'Rate Class Energy Model'!H12/'Rate Class Customer Model'!B20</f>
        <v>8274.2980345481046</v>
      </c>
      <c r="D271" s="82">
        <f>+'Rate Class Energy Model'!I12/'Rate Class Customer Model'!C20</f>
        <v>30206.483904607565</v>
      </c>
      <c r="E271" s="82">
        <f>+'Rate Class Energy Model'!J12/'Rate Class Customer Model'!D20</f>
        <v>1082778.259173136</v>
      </c>
      <c r="F271" s="82">
        <f>+'Rate Class Energy Model'!K12/'Rate Class Customer Model'!E20</f>
        <v>293.13443149980094</v>
      </c>
      <c r="G271" s="82">
        <f>+'Rate Class Energy Model'!L12/'Rate Class Customer Model'!F20</f>
        <v>634.29553576317744</v>
      </c>
      <c r="H271" s="82">
        <f>+'Rate Class Energy Model'!M12/'Rate Class Customer Model'!G20</f>
        <v>3829.9916856352297</v>
      </c>
      <c r="I271" s="82">
        <f t="shared" si="55"/>
        <v>1126016.4627651898</v>
      </c>
    </row>
    <row r="273" spans="2:6" x14ac:dyDescent="0.2">
      <c r="B273" s="47" t="s">
        <v>199</v>
      </c>
    </row>
    <row r="274" spans="2:6" ht="25.5" x14ac:dyDescent="0.2">
      <c r="B274" s="95" t="s">
        <v>111</v>
      </c>
      <c r="C274" s="76" t="s">
        <v>200</v>
      </c>
      <c r="D274" s="76" t="s">
        <v>201</v>
      </c>
      <c r="E274" s="96" t="s">
        <v>61</v>
      </c>
      <c r="F274" s="96" t="s">
        <v>201</v>
      </c>
    </row>
    <row r="275" spans="2:6" x14ac:dyDescent="0.2">
      <c r="B275" s="88" t="s">
        <v>184</v>
      </c>
      <c r="C275" s="88">
        <f t="shared" ref="C275:C287" si="56">+C50</f>
        <v>10325</v>
      </c>
      <c r="D275" s="88"/>
      <c r="E275" s="88">
        <f t="shared" ref="E275:E287" si="57">+C28</f>
        <v>90278404</v>
      </c>
      <c r="F275" s="88"/>
    </row>
    <row r="276" spans="2:6" x14ac:dyDescent="0.2">
      <c r="B276" s="75">
        <f t="shared" ref="B276:B283" si="58">+B277-1</f>
        <v>2013</v>
      </c>
      <c r="C276" s="82">
        <f t="shared" si="56"/>
        <v>10211.583333333334</v>
      </c>
      <c r="D276" s="82"/>
      <c r="E276" s="82">
        <f t="shared" si="57"/>
        <v>86202261.746603757</v>
      </c>
      <c r="F276" s="82"/>
    </row>
    <row r="277" spans="2:6" x14ac:dyDescent="0.2">
      <c r="B277" s="75">
        <f t="shared" si="58"/>
        <v>2014</v>
      </c>
      <c r="C277" s="82">
        <f t="shared" si="56"/>
        <v>10344.166666666666</v>
      </c>
      <c r="D277" s="101">
        <f>+(C277-C276)/C276</f>
        <v>1.2983621540897064E-2</v>
      </c>
      <c r="E277" s="82">
        <f t="shared" si="57"/>
        <v>85816558.384570569</v>
      </c>
      <c r="F277" s="101">
        <f t="shared" ref="F277:F287" si="59">+(E277-E276)/E276</f>
        <v>-4.4743995600368862E-3</v>
      </c>
    </row>
    <row r="278" spans="2:6" x14ac:dyDescent="0.2">
      <c r="B278" s="75">
        <f t="shared" si="58"/>
        <v>2015</v>
      </c>
      <c r="C278" s="82">
        <f t="shared" si="56"/>
        <v>10502.083333333334</v>
      </c>
      <c r="D278" s="101">
        <f t="shared" ref="D278:D287" si="60">+(C278-C277)/C277</f>
        <v>1.5266253121727339E-2</v>
      </c>
      <c r="E278" s="82">
        <f t="shared" si="57"/>
        <v>85926418.71876052</v>
      </c>
      <c r="F278" s="101">
        <f t="shared" si="59"/>
        <v>1.2801764165096582E-3</v>
      </c>
    </row>
    <row r="279" spans="2:6" x14ac:dyDescent="0.2">
      <c r="B279" s="75">
        <f t="shared" si="58"/>
        <v>2016</v>
      </c>
      <c r="C279" s="82">
        <f t="shared" si="56"/>
        <v>10634.083333333334</v>
      </c>
      <c r="D279" s="101">
        <f t="shared" si="60"/>
        <v>1.2568934735171592E-2</v>
      </c>
      <c r="E279" s="82">
        <f t="shared" si="57"/>
        <v>86214190.382619157</v>
      </c>
      <c r="F279" s="101">
        <f t="shared" si="59"/>
        <v>3.349047570579214E-3</v>
      </c>
    </row>
    <row r="280" spans="2:6" x14ac:dyDescent="0.2">
      <c r="B280" s="75">
        <f t="shared" si="58"/>
        <v>2017</v>
      </c>
      <c r="C280" s="82">
        <f t="shared" si="56"/>
        <v>10912.666666666666</v>
      </c>
      <c r="D280" s="101">
        <f t="shared" si="60"/>
        <v>2.6197211795406166E-2</v>
      </c>
      <c r="E280" s="82">
        <f t="shared" si="57"/>
        <v>83878663.289841563</v>
      </c>
      <c r="F280" s="101">
        <f t="shared" si="59"/>
        <v>-2.7089822248663589E-2</v>
      </c>
    </row>
    <row r="281" spans="2:6" x14ac:dyDescent="0.2">
      <c r="B281" s="75">
        <f t="shared" si="58"/>
        <v>2018</v>
      </c>
      <c r="C281" s="82">
        <f t="shared" si="56"/>
        <v>11219.083333333334</v>
      </c>
      <c r="D281" s="101">
        <f t="shared" si="60"/>
        <v>2.8078990775246004E-2</v>
      </c>
      <c r="E281" s="82">
        <f t="shared" si="57"/>
        <v>91709432.73716554</v>
      </c>
      <c r="F281" s="101">
        <f t="shared" si="59"/>
        <v>9.3358300432910601E-2</v>
      </c>
    </row>
    <row r="282" spans="2:6" x14ac:dyDescent="0.2">
      <c r="B282" s="75">
        <f t="shared" si="58"/>
        <v>2019</v>
      </c>
      <c r="C282" s="82">
        <f t="shared" si="56"/>
        <v>11336</v>
      </c>
      <c r="D282" s="101">
        <f t="shared" si="60"/>
        <v>1.0421231681138482E-2</v>
      </c>
      <c r="E282" s="82">
        <f t="shared" si="57"/>
        <v>89180443.270875081</v>
      </c>
      <c r="F282" s="101">
        <f t="shared" si="59"/>
        <v>-2.7576110666155913E-2</v>
      </c>
    </row>
    <row r="283" spans="2:6" x14ac:dyDescent="0.2">
      <c r="B283" s="75">
        <f t="shared" si="58"/>
        <v>2020</v>
      </c>
      <c r="C283" s="82">
        <f t="shared" si="56"/>
        <v>11381.916666666666</v>
      </c>
      <c r="D283" s="101">
        <f t="shared" si="60"/>
        <v>4.0505175252881142E-3</v>
      </c>
      <c r="E283" s="82">
        <f t="shared" si="57"/>
        <v>95587067.984431669</v>
      </c>
      <c r="F283" s="101">
        <f t="shared" si="59"/>
        <v>7.1838897392528314E-2</v>
      </c>
    </row>
    <row r="284" spans="2:6" x14ac:dyDescent="0.2">
      <c r="B284" s="75">
        <f>+B285-1</f>
        <v>2021</v>
      </c>
      <c r="C284" s="82">
        <f t="shared" si="56"/>
        <v>11468.75</v>
      </c>
      <c r="D284" s="101">
        <f t="shared" si="60"/>
        <v>7.6290607176589132E-3</v>
      </c>
      <c r="E284" s="82">
        <f t="shared" si="57"/>
        <v>95087325.556198344</v>
      </c>
      <c r="F284" s="101">
        <f t="shared" si="59"/>
        <v>-5.2281384790955074E-3</v>
      </c>
    </row>
    <row r="285" spans="2:6" x14ac:dyDescent="0.2">
      <c r="B285" s="75">
        <v>2022</v>
      </c>
      <c r="C285" s="82">
        <f t="shared" si="56"/>
        <v>11526.25</v>
      </c>
      <c r="D285" s="101">
        <f t="shared" si="60"/>
        <v>5.0136239782016352E-3</v>
      </c>
      <c r="E285" s="82">
        <f t="shared" si="57"/>
        <v>95371627.720710099</v>
      </c>
      <c r="F285" s="101">
        <f t="shared" si="59"/>
        <v>2.9899059927153736E-3</v>
      </c>
    </row>
    <row r="286" spans="2:6" x14ac:dyDescent="0.2">
      <c r="B286" s="88" t="str">
        <f>+B256</f>
        <v>2023 Bridge</v>
      </c>
      <c r="C286" s="88">
        <f t="shared" si="56"/>
        <v>11612.666666666666</v>
      </c>
      <c r="D286" s="123">
        <f t="shared" si="60"/>
        <v>7.4973791707334181E-3</v>
      </c>
      <c r="E286" s="88">
        <f t="shared" si="57"/>
        <v>91628868.162093714</v>
      </c>
      <c r="F286" s="123">
        <f t="shared" si="59"/>
        <v>-3.924395177124191E-2</v>
      </c>
    </row>
    <row r="287" spans="2:6" x14ac:dyDescent="0.2">
      <c r="B287" s="88" t="str">
        <f>+B257</f>
        <v>2024 Test</v>
      </c>
      <c r="C287" s="88">
        <f t="shared" si="56"/>
        <v>11740.5</v>
      </c>
      <c r="D287" s="123">
        <f t="shared" si="60"/>
        <v>1.1008094609334688E-2</v>
      </c>
      <c r="E287" s="88">
        <f t="shared" si="57"/>
        <v>94221374.619588077</v>
      </c>
      <c r="F287" s="123">
        <f t="shared" si="59"/>
        <v>2.8293555399027254E-2</v>
      </c>
    </row>
    <row r="290" spans="2:6" x14ac:dyDescent="0.2">
      <c r="B290" s="47" t="s">
        <v>202</v>
      </c>
    </row>
    <row r="291" spans="2:6" ht="25.5" x14ac:dyDescent="0.2">
      <c r="B291" s="95" t="s">
        <v>111</v>
      </c>
      <c r="C291" s="76" t="s">
        <v>200</v>
      </c>
      <c r="D291" s="76" t="s">
        <v>201</v>
      </c>
      <c r="E291" s="96" t="s">
        <v>61</v>
      </c>
      <c r="F291" s="96" t="s">
        <v>201</v>
      </c>
    </row>
    <row r="292" spans="2:6" x14ac:dyDescent="0.2">
      <c r="B292" s="88" t="s">
        <v>184</v>
      </c>
      <c r="C292" s="88">
        <f t="shared" ref="C292:C304" si="61">+D50</f>
        <v>1141</v>
      </c>
      <c r="D292" s="88"/>
      <c r="E292" s="88">
        <f t="shared" ref="E292:E304" si="62">+D28</f>
        <v>37678912</v>
      </c>
      <c r="F292" s="88"/>
    </row>
    <row r="293" spans="2:6" x14ac:dyDescent="0.2">
      <c r="B293" s="75">
        <f t="shared" ref="B293:B300" si="63">+B294-1</f>
        <v>2013</v>
      </c>
      <c r="C293" s="82">
        <f t="shared" si="61"/>
        <v>1122.75</v>
      </c>
      <c r="D293" s="82"/>
      <c r="E293" s="82">
        <f t="shared" si="62"/>
        <v>36449901.791789994</v>
      </c>
      <c r="F293" s="82"/>
    </row>
    <row r="294" spans="2:6" x14ac:dyDescent="0.2">
      <c r="B294" s="75">
        <f t="shared" si="63"/>
        <v>2014</v>
      </c>
      <c r="C294" s="82">
        <f t="shared" si="61"/>
        <v>1138.4166666666667</v>
      </c>
      <c r="D294" s="101">
        <f>+(C294-C293)/C293</f>
        <v>1.3953833593112218E-2</v>
      </c>
      <c r="E294" s="82">
        <f t="shared" si="62"/>
        <v>35415553.049546637</v>
      </c>
      <c r="F294" s="101">
        <f t="shared" ref="F294:F304" si="64">+(E294-E293)/E293</f>
        <v>-2.8377271032218106E-2</v>
      </c>
    </row>
    <row r="295" spans="2:6" x14ac:dyDescent="0.2">
      <c r="B295" s="75">
        <f t="shared" si="63"/>
        <v>2015</v>
      </c>
      <c r="C295" s="82">
        <f t="shared" si="61"/>
        <v>1133.75</v>
      </c>
      <c r="D295" s="101">
        <f t="shared" ref="D295:D304" si="65">+(C295-C294)/C294</f>
        <v>-4.0992606690579683E-3</v>
      </c>
      <c r="E295" s="82">
        <f t="shared" si="62"/>
        <v>34168176.853738427</v>
      </c>
      <c r="F295" s="101">
        <f t="shared" si="64"/>
        <v>-3.5221141233150316E-2</v>
      </c>
    </row>
    <row r="296" spans="2:6" x14ac:dyDescent="0.2">
      <c r="B296" s="75">
        <f t="shared" si="63"/>
        <v>2016</v>
      </c>
      <c r="C296" s="82">
        <f t="shared" si="61"/>
        <v>1133.0833333333333</v>
      </c>
      <c r="D296" s="101">
        <f t="shared" si="65"/>
        <v>-5.8801911062116203E-4</v>
      </c>
      <c r="E296" s="82">
        <f t="shared" si="62"/>
        <v>34455638.026827835</v>
      </c>
      <c r="F296" s="101">
        <f t="shared" si="64"/>
        <v>8.4131258837696968E-3</v>
      </c>
    </row>
    <row r="297" spans="2:6" x14ac:dyDescent="0.2">
      <c r="B297" s="75">
        <f t="shared" si="63"/>
        <v>2017</v>
      </c>
      <c r="C297" s="82">
        <f t="shared" si="61"/>
        <v>1143.1666666666667</v>
      </c>
      <c r="D297" s="101">
        <f t="shared" si="65"/>
        <v>8.8990218430537484E-3</v>
      </c>
      <c r="E297" s="82">
        <f t="shared" si="62"/>
        <v>34387085.601475</v>
      </c>
      <c r="F297" s="101">
        <f t="shared" si="64"/>
        <v>-1.9895851384164735E-3</v>
      </c>
    </row>
    <row r="298" spans="2:6" x14ac:dyDescent="0.2">
      <c r="B298" s="75">
        <f t="shared" si="63"/>
        <v>2018</v>
      </c>
      <c r="C298" s="82">
        <f t="shared" si="61"/>
        <v>1154.5</v>
      </c>
      <c r="D298" s="101">
        <f t="shared" si="65"/>
        <v>9.9139816299751472E-3</v>
      </c>
      <c r="E298" s="82">
        <f t="shared" si="62"/>
        <v>35759952.621808477</v>
      </c>
      <c r="F298" s="101">
        <f t="shared" si="64"/>
        <v>3.9923913187763393E-2</v>
      </c>
    </row>
    <row r="299" spans="2:6" x14ac:dyDescent="0.2">
      <c r="B299" s="75">
        <f t="shared" si="63"/>
        <v>2019</v>
      </c>
      <c r="C299" s="82">
        <f t="shared" si="61"/>
        <v>1164.0833333333333</v>
      </c>
      <c r="D299" s="101">
        <f t="shared" si="65"/>
        <v>8.3008517395697333E-3</v>
      </c>
      <c r="E299" s="82">
        <f t="shared" si="62"/>
        <v>34942744.746606827</v>
      </c>
      <c r="F299" s="101">
        <f t="shared" si="64"/>
        <v>-2.2852599494308883E-2</v>
      </c>
    </row>
    <row r="300" spans="2:6" x14ac:dyDescent="0.2">
      <c r="B300" s="75">
        <f t="shared" si="63"/>
        <v>2020</v>
      </c>
      <c r="C300" s="82">
        <f t="shared" si="61"/>
        <v>1163.8333333333333</v>
      </c>
      <c r="D300" s="101">
        <f t="shared" si="65"/>
        <v>-2.1476125706922474E-4</v>
      </c>
      <c r="E300" s="82">
        <f t="shared" si="62"/>
        <v>33629605.964253612</v>
      </c>
      <c r="F300" s="101">
        <f t="shared" si="64"/>
        <v>-3.7579726260076621E-2</v>
      </c>
    </row>
    <row r="301" spans="2:6" x14ac:dyDescent="0.2">
      <c r="B301" s="75">
        <f>+B302-1</f>
        <v>2021</v>
      </c>
      <c r="C301" s="82">
        <f t="shared" si="61"/>
        <v>1166.5833333333333</v>
      </c>
      <c r="D301" s="101">
        <f t="shared" si="65"/>
        <v>2.3628812831161393E-3</v>
      </c>
      <c r="E301" s="82">
        <f t="shared" si="62"/>
        <v>33533529.262311421</v>
      </c>
      <c r="F301" s="101">
        <f t="shared" si="64"/>
        <v>-2.8569083457092742E-3</v>
      </c>
    </row>
    <row r="302" spans="2:6" x14ac:dyDescent="0.2">
      <c r="B302" s="75">
        <v>2022</v>
      </c>
      <c r="C302" s="82">
        <f t="shared" si="61"/>
        <v>1166.5</v>
      </c>
      <c r="D302" s="101">
        <f t="shared" si="65"/>
        <v>-7.143367383378031E-5</v>
      </c>
      <c r="E302" s="82">
        <f t="shared" si="62"/>
        <v>35235863.474724725</v>
      </c>
      <c r="F302" s="101">
        <f t="shared" si="64"/>
        <v>5.0765137158604104E-2</v>
      </c>
    </row>
    <row r="303" spans="2:6" x14ac:dyDescent="0.2">
      <c r="B303" s="88" t="str">
        <f>+B286</f>
        <v>2023 Bridge</v>
      </c>
      <c r="C303" s="88">
        <f t="shared" si="61"/>
        <v>1164.25</v>
      </c>
      <c r="D303" s="123">
        <f t="shared" si="65"/>
        <v>-1.9288469781397343E-3</v>
      </c>
      <c r="E303" s="88">
        <f t="shared" si="62"/>
        <v>33536336.924245115</v>
      </c>
      <c r="F303" s="123">
        <f t="shared" si="64"/>
        <v>-4.8232862285288065E-2</v>
      </c>
    </row>
    <row r="304" spans="2:6" x14ac:dyDescent="0.2">
      <c r="B304" s="88" t="str">
        <f>+B287</f>
        <v>2024 Test</v>
      </c>
      <c r="C304" s="88">
        <f t="shared" si="61"/>
        <v>1168.4834481663743</v>
      </c>
      <c r="D304" s="123">
        <f t="shared" si="65"/>
        <v>3.636201989584946E-3</v>
      </c>
      <c r="E304" s="88">
        <f t="shared" si="62"/>
        <v>34233745.966155298</v>
      </c>
      <c r="F304" s="123">
        <f t="shared" si="64"/>
        <v>2.0795623668904351E-2</v>
      </c>
    </row>
    <row r="307" spans="2:8" x14ac:dyDescent="0.2">
      <c r="B307" s="47" t="s">
        <v>203</v>
      </c>
    </row>
    <row r="308" spans="2:8" ht="25.5" x14ac:dyDescent="0.2">
      <c r="B308" s="95" t="s">
        <v>111</v>
      </c>
      <c r="C308" s="76" t="s">
        <v>200</v>
      </c>
      <c r="D308" s="76" t="s">
        <v>201</v>
      </c>
      <c r="E308" s="96" t="s">
        <v>61</v>
      </c>
      <c r="F308" s="96" t="s">
        <v>201</v>
      </c>
      <c r="G308" s="96" t="s">
        <v>62</v>
      </c>
      <c r="H308" s="96" t="s">
        <v>201</v>
      </c>
    </row>
    <row r="309" spans="2:8" x14ac:dyDescent="0.2">
      <c r="B309" s="88" t="s">
        <v>184</v>
      </c>
      <c r="C309" s="88">
        <f t="shared" ref="C309:C321" si="66">+E50</f>
        <v>124</v>
      </c>
      <c r="D309" s="88"/>
      <c r="E309" s="88">
        <f t="shared" ref="E309:E321" si="67">+E28</f>
        <v>121733913</v>
      </c>
      <c r="F309" s="88"/>
      <c r="G309" s="88">
        <f t="shared" ref="G309:G321" si="68">+F28</f>
        <v>293725</v>
      </c>
      <c r="H309" s="88"/>
    </row>
    <row r="310" spans="2:8" x14ac:dyDescent="0.2">
      <c r="B310" s="75">
        <f t="shared" ref="B310:B317" si="69">+B311-1</f>
        <v>2013</v>
      </c>
      <c r="C310" s="82">
        <f t="shared" si="66"/>
        <v>124.66666666666667</v>
      </c>
      <c r="D310" s="82"/>
      <c r="E310" s="82">
        <f t="shared" si="67"/>
        <v>119884762.44284</v>
      </c>
      <c r="F310" s="82"/>
      <c r="G310" s="82">
        <f t="shared" si="68"/>
        <v>288316.92000000004</v>
      </c>
      <c r="H310" s="82"/>
    </row>
    <row r="311" spans="2:8" x14ac:dyDescent="0.2">
      <c r="B311" s="75">
        <f t="shared" si="69"/>
        <v>2014</v>
      </c>
      <c r="C311" s="82">
        <f t="shared" si="66"/>
        <v>132.08333333333334</v>
      </c>
      <c r="D311" s="101">
        <f>+(C311-C310)/C310</f>
        <v>5.9491978609625705E-2</v>
      </c>
      <c r="E311" s="82">
        <f t="shared" si="67"/>
        <v>123021881.80449331</v>
      </c>
      <c r="F311" s="101">
        <f t="shared" ref="F311:H321" si="70">+(E311-E310)/E310</f>
        <v>2.6167790616001461E-2</v>
      </c>
      <c r="G311" s="82">
        <f t="shared" si="68"/>
        <v>293508.34999999998</v>
      </c>
      <c r="H311" s="101">
        <f t="shared" si="70"/>
        <v>1.8005984525639125E-2</v>
      </c>
    </row>
    <row r="312" spans="2:8" x14ac:dyDescent="0.2">
      <c r="B312" s="75">
        <f t="shared" si="69"/>
        <v>2015</v>
      </c>
      <c r="C312" s="82">
        <f t="shared" si="66"/>
        <v>138.75</v>
      </c>
      <c r="D312" s="101">
        <f t="shared" ref="D312:D321" si="71">+(C312-C311)/C311</f>
        <v>5.0473186119873739E-2</v>
      </c>
      <c r="E312" s="82">
        <f t="shared" si="67"/>
        <v>124266046.18177828</v>
      </c>
      <c r="F312" s="101">
        <f t="shared" si="70"/>
        <v>1.0113358363857603E-2</v>
      </c>
      <c r="G312" s="82">
        <f t="shared" si="68"/>
        <v>288680.5</v>
      </c>
      <c r="H312" s="101">
        <f t="shared" si="70"/>
        <v>-1.6448765426946038E-2</v>
      </c>
    </row>
    <row r="313" spans="2:8" x14ac:dyDescent="0.2">
      <c r="B313" s="75">
        <f t="shared" si="69"/>
        <v>2016</v>
      </c>
      <c r="C313" s="82">
        <f t="shared" si="66"/>
        <v>139.91666666666666</v>
      </c>
      <c r="D313" s="101">
        <f t="shared" si="71"/>
        <v>8.4084084084083393E-3</v>
      </c>
      <c r="E313" s="82">
        <f t="shared" si="67"/>
        <v>126472988.41207671</v>
      </c>
      <c r="F313" s="101">
        <f t="shared" si="70"/>
        <v>1.775981692593712E-2</v>
      </c>
      <c r="G313" s="82">
        <f t="shared" si="68"/>
        <v>306871.28999999998</v>
      </c>
      <c r="H313" s="101">
        <f t="shared" si="70"/>
        <v>6.3013573829891451E-2</v>
      </c>
    </row>
    <row r="314" spans="2:8" x14ac:dyDescent="0.2">
      <c r="B314" s="75">
        <f t="shared" si="69"/>
        <v>2017</v>
      </c>
      <c r="C314" s="82">
        <f t="shared" si="66"/>
        <v>134.33333333333334</v>
      </c>
      <c r="D314" s="101">
        <f t="shared" si="71"/>
        <v>-3.9904705181655613E-2</v>
      </c>
      <c r="E314" s="82">
        <f t="shared" si="67"/>
        <v>125001047.73669259</v>
      </c>
      <c r="F314" s="101">
        <f t="shared" si="70"/>
        <v>-1.1638379814258946E-2</v>
      </c>
      <c r="G314" s="82">
        <f t="shared" si="68"/>
        <v>295314.63</v>
      </c>
      <c r="H314" s="101">
        <f t="shared" si="70"/>
        <v>-3.7659632479792995E-2</v>
      </c>
    </row>
    <row r="315" spans="2:8" x14ac:dyDescent="0.2">
      <c r="B315" s="75">
        <f t="shared" si="69"/>
        <v>2018</v>
      </c>
      <c r="C315" s="82">
        <f t="shared" si="66"/>
        <v>135.91666666666666</v>
      </c>
      <c r="D315" s="101">
        <f t="shared" si="71"/>
        <v>1.1786600496277774E-2</v>
      </c>
      <c r="E315" s="82">
        <f t="shared" si="67"/>
        <v>127930297.35877302</v>
      </c>
      <c r="F315" s="101">
        <f t="shared" si="70"/>
        <v>2.3433800557021919E-2</v>
      </c>
      <c r="G315" s="82">
        <f t="shared" si="68"/>
        <v>297736.30999999994</v>
      </c>
      <c r="H315" s="101">
        <f t="shared" si="70"/>
        <v>8.20033873702747E-3</v>
      </c>
    </row>
    <row r="316" spans="2:8" x14ac:dyDescent="0.2">
      <c r="B316" s="75">
        <f t="shared" si="69"/>
        <v>2019</v>
      </c>
      <c r="C316" s="82">
        <f t="shared" si="66"/>
        <v>132.25</v>
      </c>
      <c r="D316" s="101">
        <f t="shared" si="71"/>
        <v>-2.6977314530962533E-2</v>
      </c>
      <c r="E316" s="82">
        <f t="shared" si="67"/>
        <v>127241231.81181008</v>
      </c>
      <c r="F316" s="101">
        <f t="shared" si="70"/>
        <v>-5.3862576824198474E-3</v>
      </c>
      <c r="G316" s="82">
        <f t="shared" si="68"/>
        <v>298865.18999999994</v>
      </c>
      <c r="H316" s="101">
        <f t="shared" si="70"/>
        <v>3.7915429260206956E-3</v>
      </c>
    </row>
    <row r="317" spans="2:8" x14ac:dyDescent="0.2">
      <c r="B317" s="75">
        <f t="shared" si="69"/>
        <v>2020</v>
      </c>
      <c r="C317" s="82">
        <f t="shared" si="66"/>
        <v>122.08333333333333</v>
      </c>
      <c r="D317" s="101">
        <f t="shared" si="71"/>
        <v>-7.6874606175173318E-2</v>
      </c>
      <c r="E317" s="82">
        <f t="shared" si="67"/>
        <v>123770623.32453001</v>
      </c>
      <c r="F317" s="101">
        <f t="shared" si="70"/>
        <v>-2.7275816477579411E-2</v>
      </c>
      <c r="G317" s="82">
        <f t="shared" si="68"/>
        <v>278922.71999999997</v>
      </c>
      <c r="H317" s="101">
        <f t="shared" si="70"/>
        <v>-6.6727309393241729E-2</v>
      </c>
    </row>
    <row r="318" spans="2:8" x14ac:dyDescent="0.2">
      <c r="B318" s="75">
        <f>+B319-1</f>
        <v>2021</v>
      </c>
      <c r="C318" s="82">
        <f t="shared" si="66"/>
        <v>126</v>
      </c>
      <c r="D318" s="101">
        <f t="shared" si="71"/>
        <v>3.2081911262798676E-2</v>
      </c>
      <c r="E318" s="82">
        <f t="shared" si="67"/>
        <v>130759586.91982318</v>
      </c>
      <c r="F318" s="101">
        <f t="shared" si="70"/>
        <v>5.6467063084653962E-2</v>
      </c>
      <c r="G318" s="82">
        <f t="shared" si="68"/>
        <v>301675.62</v>
      </c>
      <c r="H318" s="101">
        <f t="shared" si="70"/>
        <v>8.1574208081722513E-2</v>
      </c>
    </row>
    <row r="319" spans="2:8" x14ac:dyDescent="0.2">
      <c r="B319" s="75">
        <v>2022</v>
      </c>
      <c r="C319" s="82">
        <f t="shared" si="66"/>
        <v>125.75</v>
      </c>
      <c r="D319" s="101">
        <f t="shared" si="71"/>
        <v>-1.984126984126984E-3</v>
      </c>
      <c r="E319" s="82">
        <f t="shared" si="67"/>
        <v>136159366.09102184</v>
      </c>
      <c r="F319" s="101">
        <f t="shared" si="70"/>
        <v>4.1295474377030503E-2</v>
      </c>
      <c r="G319" s="82">
        <f t="shared" si="68"/>
        <v>317681.46000000008</v>
      </c>
      <c r="H319" s="101">
        <f t="shared" si="70"/>
        <v>5.3056458456934914E-2</v>
      </c>
    </row>
    <row r="320" spans="2:8" x14ac:dyDescent="0.2">
      <c r="B320" s="88" t="str">
        <f>+B303</f>
        <v>2023 Bridge</v>
      </c>
      <c r="C320" s="88">
        <f t="shared" si="66"/>
        <v>126</v>
      </c>
      <c r="D320" s="123">
        <f t="shared" si="71"/>
        <v>1.9880715705765406E-3</v>
      </c>
      <c r="E320" s="88">
        <f t="shared" si="67"/>
        <v>132562052.31591827</v>
      </c>
      <c r="F320" s="123">
        <f t="shared" si="70"/>
        <v>-2.641987751836905E-2</v>
      </c>
      <c r="G320" s="88">
        <f t="shared" si="68"/>
        <v>312524.7633633946</v>
      </c>
      <c r="H320" s="123">
        <f t="shared" si="70"/>
        <v>-1.6232287010408106E-2</v>
      </c>
    </row>
    <row r="321" spans="2:8" x14ac:dyDescent="0.2">
      <c r="B321" s="88" t="str">
        <f>+B304</f>
        <v>2024 Test</v>
      </c>
      <c r="C321" s="88">
        <f t="shared" si="66"/>
        <v>126.13411514324987</v>
      </c>
      <c r="D321" s="123">
        <f t="shared" si="71"/>
        <v>1.0644058988085075E-3</v>
      </c>
      <c r="E321" s="88">
        <f t="shared" si="67"/>
        <v>134063931.78607029</v>
      </c>
      <c r="F321" s="123">
        <f t="shared" si="70"/>
        <v>1.1329633510597605E-2</v>
      </c>
      <c r="G321" s="88">
        <f t="shared" si="68"/>
        <v>316065.55439528805</v>
      </c>
      <c r="H321" s="123">
        <f t="shared" si="70"/>
        <v>1.1329633510597467E-2</v>
      </c>
    </row>
    <row r="324" spans="2:8" x14ac:dyDescent="0.2">
      <c r="B324" s="47" t="s">
        <v>204</v>
      </c>
    </row>
    <row r="325" spans="2:8" ht="25.5" x14ac:dyDescent="0.2">
      <c r="B325" s="95" t="s">
        <v>111</v>
      </c>
      <c r="C325" s="76" t="s">
        <v>236</v>
      </c>
      <c r="D325" s="76" t="s">
        <v>201</v>
      </c>
      <c r="E325" s="96" t="s">
        <v>61</v>
      </c>
      <c r="F325" s="96" t="s">
        <v>201</v>
      </c>
      <c r="G325" s="96" t="s">
        <v>62</v>
      </c>
      <c r="H325" s="96" t="s">
        <v>201</v>
      </c>
    </row>
    <row r="326" spans="2:8" x14ac:dyDescent="0.2">
      <c r="B326" s="88" t="s">
        <v>184</v>
      </c>
      <c r="C326" s="88">
        <f t="shared" ref="C326:C338" si="72">+F50</f>
        <v>2870</v>
      </c>
      <c r="D326" s="88"/>
      <c r="E326" s="88">
        <f t="shared" ref="E326:E338" si="73">+G28</f>
        <v>1861618</v>
      </c>
      <c r="F326" s="88"/>
      <c r="G326" s="88">
        <f t="shared" ref="G326:G338" si="74">+H28</f>
        <v>5230</v>
      </c>
      <c r="H326" s="88"/>
    </row>
    <row r="327" spans="2:8" x14ac:dyDescent="0.2">
      <c r="B327" s="75">
        <f t="shared" ref="B327:B334" si="75">+B328-1</f>
        <v>2013</v>
      </c>
      <c r="C327" s="82">
        <f t="shared" si="72"/>
        <v>2853.9166666666665</v>
      </c>
      <c r="D327" s="82"/>
      <c r="E327" s="82">
        <f t="shared" si="73"/>
        <v>1712978.1604808702</v>
      </c>
      <c r="F327" s="82"/>
      <c r="G327" s="82">
        <f t="shared" si="74"/>
        <v>4780.3</v>
      </c>
      <c r="H327" s="82"/>
    </row>
    <row r="328" spans="2:8" x14ac:dyDescent="0.2">
      <c r="B328" s="75">
        <f t="shared" si="75"/>
        <v>2014</v>
      </c>
      <c r="C328" s="82">
        <f t="shared" si="72"/>
        <v>2895.75</v>
      </c>
      <c r="D328" s="101">
        <f>+(C328-C327)/C327</f>
        <v>1.4658218238093901E-2</v>
      </c>
      <c r="E328" s="82">
        <f t="shared" si="73"/>
        <v>1731641.5322965365</v>
      </c>
      <c r="F328" s="101">
        <f t="shared" ref="F328" si="76">+(E328-E327)/E327</f>
        <v>1.0895277153111579E-2</v>
      </c>
      <c r="G328" s="82">
        <f t="shared" si="74"/>
        <v>4826.93</v>
      </c>
      <c r="H328" s="101">
        <f t="shared" ref="H328" si="77">+(G328-G327)/G327</f>
        <v>9.7546179110097921E-3</v>
      </c>
    </row>
    <row r="329" spans="2:8" x14ac:dyDescent="0.2">
      <c r="B329" s="75">
        <f t="shared" si="75"/>
        <v>2015</v>
      </c>
      <c r="C329" s="82">
        <f t="shared" si="72"/>
        <v>2916.25</v>
      </c>
      <c r="D329" s="101">
        <f t="shared" ref="D329:D338" si="78">+(C329-C328)/C328</f>
        <v>7.0793404126737458E-3</v>
      </c>
      <c r="E329" s="82">
        <f t="shared" si="73"/>
        <v>1629825.7799828262</v>
      </c>
      <c r="F329" s="101">
        <f t="shared" ref="F329" si="79">+(E329-E328)/E328</f>
        <v>-5.879724551228583E-2</v>
      </c>
      <c r="G329" s="82">
        <f t="shared" si="74"/>
        <v>4599.0700000000006</v>
      </c>
      <c r="H329" s="101">
        <f t="shared" ref="H329" si="80">+(G329-G328)/G328</f>
        <v>-4.7205988071092733E-2</v>
      </c>
    </row>
    <row r="330" spans="2:8" x14ac:dyDescent="0.2">
      <c r="B330" s="75">
        <f t="shared" si="75"/>
        <v>2016</v>
      </c>
      <c r="C330" s="82">
        <f t="shared" si="72"/>
        <v>2852.25</v>
      </c>
      <c r="D330" s="101">
        <f t="shared" si="78"/>
        <v>-2.1945992284612088E-2</v>
      </c>
      <c r="E330" s="82">
        <f t="shared" si="73"/>
        <v>890659.09741436888</v>
      </c>
      <c r="F330" s="101">
        <f t="shared" ref="F330" si="81">+(E330-E329)/E329</f>
        <v>-0.45352496668462688</v>
      </c>
      <c r="G330" s="82">
        <f t="shared" si="74"/>
        <v>2461.8700000000003</v>
      </c>
      <c r="H330" s="101">
        <f t="shared" ref="H330" si="82">+(G330-G329)/G329</f>
        <v>-0.46470264640459918</v>
      </c>
    </row>
    <row r="331" spans="2:8" x14ac:dyDescent="0.2">
      <c r="B331" s="75">
        <f t="shared" si="75"/>
        <v>2017</v>
      </c>
      <c r="C331" s="82">
        <f t="shared" si="72"/>
        <v>2876.75</v>
      </c>
      <c r="D331" s="101">
        <f t="shared" si="78"/>
        <v>8.58970987816636E-3</v>
      </c>
      <c r="E331" s="82">
        <f t="shared" si="73"/>
        <v>863294.61883408076</v>
      </c>
      <c r="F331" s="101">
        <f t="shared" ref="F331" si="83">+(E331-E330)/E330</f>
        <v>-3.0723852324338989E-2</v>
      </c>
      <c r="G331" s="82">
        <f t="shared" si="74"/>
        <v>2404.58</v>
      </c>
      <c r="H331" s="101">
        <f t="shared" ref="H331" si="84">+(G331-G330)/G330</f>
        <v>-2.3270928196858651E-2</v>
      </c>
    </row>
    <row r="332" spans="2:8" x14ac:dyDescent="0.2">
      <c r="B332" s="75">
        <f t="shared" si="75"/>
        <v>2018</v>
      </c>
      <c r="C332" s="82">
        <f t="shared" si="72"/>
        <v>2900</v>
      </c>
      <c r="D332" s="101">
        <f t="shared" si="78"/>
        <v>8.082037020943773E-3</v>
      </c>
      <c r="E332" s="82">
        <f t="shared" si="73"/>
        <v>870905.41933021648</v>
      </c>
      <c r="F332" s="101">
        <f t="shared" ref="F332" si="85">+(E332-E331)/E331</f>
        <v>8.8159943663432758E-3</v>
      </c>
      <c r="G332" s="82">
        <f t="shared" si="74"/>
        <v>2423.3099999999995</v>
      </c>
      <c r="H332" s="101">
        <f t="shared" ref="H332" si="86">+(G332-G331)/G331</f>
        <v>7.7893020818602682E-3</v>
      </c>
    </row>
    <row r="333" spans="2:8" x14ac:dyDescent="0.2">
      <c r="B333" s="75">
        <f t="shared" si="75"/>
        <v>2019</v>
      </c>
      <c r="C333" s="82">
        <f t="shared" si="72"/>
        <v>2939</v>
      </c>
      <c r="D333" s="101">
        <f t="shared" si="78"/>
        <v>1.3448275862068966E-2</v>
      </c>
      <c r="E333" s="82">
        <f t="shared" si="73"/>
        <v>883464.17326590978</v>
      </c>
      <c r="F333" s="101">
        <f t="shared" ref="F333" si="87">+(E333-E332)/E332</f>
        <v>1.4420341930300314E-2</v>
      </c>
      <c r="G333" s="82">
        <f t="shared" si="74"/>
        <v>2459.6399999999994</v>
      </c>
      <c r="H333" s="101">
        <f t="shared" ref="H333" si="88">+(G333-G332)/G332</f>
        <v>1.4991891256174379E-2</v>
      </c>
    </row>
    <row r="334" spans="2:8" x14ac:dyDescent="0.2">
      <c r="B334" s="75">
        <f t="shared" si="75"/>
        <v>2020</v>
      </c>
      <c r="C334" s="82">
        <f t="shared" si="72"/>
        <v>2944.1666666666665</v>
      </c>
      <c r="D334" s="101">
        <f t="shared" si="78"/>
        <v>1.7579675626629857E-3</v>
      </c>
      <c r="E334" s="82">
        <f t="shared" si="73"/>
        <v>881690.64974716154</v>
      </c>
      <c r="F334" s="101">
        <f t="shared" ref="F334" si="89">+(E334-E333)/E333</f>
        <v>-2.0074651269581562E-3</v>
      </c>
      <c r="G334" s="82">
        <f t="shared" si="74"/>
        <v>2445.92</v>
      </c>
      <c r="H334" s="101">
        <f t="shared" ref="H334" si="90">+(G334-G333)/G333</f>
        <v>-5.578052072660775E-3</v>
      </c>
    </row>
    <row r="335" spans="2:8" x14ac:dyDescent="0.2">
      <c r="B335" s="75">
        <f>+B336-1</f>
        <v>2021</v>
      </c>
      <c r="C335" s="82">
        <f t="shared" si="72"/>
        <v>2965.9166666666665</v>
      </c>
      <c r="D335" s="101">
        <f t="shared" si="78"/>
        <v>7.3874893857911132E-3</v>
      </c>
      <c r="E335" s="82">
        <f t="shared" si="73"/>
        <v>870117.8322679135</v>
      </c>
      <c r="F335" s="101">
        <f t="shared" ref="F335" si="91">+(E335-E334)/E334</f>
        <v>-1.3125711929197306E-2</v>
      </c>
      <c r="G335" s="82">
        <f t="shared" si="74"/>
        <v>2420.3500000000004</v>
      </c>
      <c r="H335" s="101">
        <f t="shared" ref="H335" si="92">+(G335-G334)/G334</f>
        <v>-1.04541440439588E-2</v>
      </c>
    </row>
    <row r="336" spans="2:8" x14ac:dyDescent="0.2">
      <c r="B336" s="75">
        <v>2022</v>
      </c>
      <c r="C336" s="82">
        <f t="shared" si="72"/>
        <v>2985</v>
      </c>
      <c r="D336" s="101">
        <f t="shared" si="78"/>
        <v>6.4342108960130885E-3</v>
      </c>
      <c r="E336" s="82">
        <f t="shared" si="73"/>
        <v>875006.27802690573</v>
      </c>
      <c r="F336" s="101">
        <f t="shared" ref="F336" si="93">+(E336-E335)/E335</f>
        <v>5.6181422535046353E-3</v>
      </c>
      <c r="G336" s="82">
        <f t="shared" si="74"/>
        <v>2434.08</v>
      </c>
      <c r="H336" s="101">
        <f t="shared" ref="H336" si="94">+(G336-G335)/G335</f>
        <v>5.6727332823763342E-3</v>
      </c>
    </row>
    <row r="337" spans="2:8" x14ac:dyDescent="0.2">
      <c r="B337" s="88" t="str">
        <f>+B320</f>
        <v>2023 Bridge</v>
      </c>
      <c r="C337" s="88">
        <f t="shared" si="72"/>
        <v>2963</v>
      </c>
      <c r="D337" s="123">
        <f t="shared" si="78"/>
        <v>-7.3701842546063647E-3</v>
      </c>
      <c r="E337" s="88">
        <f t="shared" si="73"/>
        <v>868557.32053391018</v>
      </c>
      <c r="F337" s="123">
        <f t="shared" ref="F337" si="95">+(E337-E336)/E336</f>
        <v>-7.3701842546062754E-3</v>
      </c>
      <c r="G337" s="88">
        <f t="shared" si="74"/>
        <v>2436.1070625659263</v>
      </c>
      <c r="H337" s="123">
        <f t="shared" ref="H337" si="96">+(G337-G336)/G336</f>
        <v>8.3278387149410521E-4</v>
      </c>
    </row>
    <row r="338" spans="2:8" x14ac:dyDescent="0.2">
      <c r="B338" s="88" t="str">
        <f>+B321</f>
        <v>2024 Test</v>
      </c>
      <c r="C338" s="88">
        <f t="shared" si="72"/>
        <v>2974.135068550856</v>
      </c>
      <c r="D338" s="123">
        <f t="shared" si="78"/>
        <v>3.7580386604306368E-3</v>
      </c>
      <c r="E338" s="88">
        <f t="shared" si="73"/>
        <v>871821.39252327662</v>
      </c>
      <c r="F338" s="123">
        <f t="shared" ref="F338" si="97">+(E338-E337)/E337</f>
        <v>3.7580386604305865E-3</v>
      </c>
      <c r="G338" s="88">
        <f t="shared" si="74"/>
        <v>2445.262047087997</v>
      </c>
      <c r="H338" s="123">
        <f t="shared" ref="H338" si="98">+(G338-G337)/G337</f>
        <v>3.7580386604305531E-3</v>
      </c>
    </row>
    <row r="341" spans="2:8" x14ac:dyDescent="0.2">
      <c r="B341" s="15" t="s">
        <v>205</v>
      </c>
      <c r="C341" s="15"/>
      <c r="D341" s="15"/>
      <c r="E341" s="15"/>
      <c r="F341" s="15"/>
    </row>
    <row r="342" spans="2:8" ht="25.5" x14ac:dyDescent="0.2">
      <c r="B342" s="95" t="s">
        <v>111</v>
      </c>
      <c r="C342" s="76" t="s">
        <v>236</v>
      </c>
      <c r="D342" s="76" t="s">
        <v>201</v>
      </c>
      <c r="E342" s="96" t="s">
        <v>61</v>
      </c>
      <c r="F342" s="96" t="s">
        <v>201</v>
      </c>
      <c r="G342" s="96" t="s">
        <v>62</v>
      </c>
      <c r="H342" s="96" t="s">
        <v>201</v>
      </c>
    </row>
    <row r="343" spans="2:8" x14ac:dyDescent="0.2">
      <c r="B343" s="88" t="s">
        <v>184</v>
      </c>
      <c r="C343" s="88">
        <f t="shared" ref="C343:C355" si="99">+G50</f>
        <v>155</v>
      </c>
      <c r="D343" s="88"/>
      <c r="E343" s="88">
        <f t="shared" ref="E343:E355" si="100">+I28</f>
        <v>122536</v>
      </c>
      <c r="F343" s="88"/>
      <c r="G343" s="88">
        <f t="shared" ref="G343:G355" si="101">+J28</f>
        <v>339</v>
      </c>
      <c r="H343" s="88"/>
    </row>
    <row r="344" spans="2:8" x14ac:dyDescent="0.2">
      <c r="B344" s="136">
        <f t="shared" ref="B344:B351" si="102">+B345-1</f>
        <v>2013</v>
      </c>
      <c r="C344" s="137">
        <f t="shared" si="99"/>
        <v>156</v>
      </c>
      <c r="D344" s="137"/>
      <c r="E344" s="137">
        <f t="shared" si="100"/>
        <v>106011.51098813729</v>
      </c>
      <c r="F344" s="137"/>
      <c r="G344" s="82">
        <f t="shared" si="101"/>
        <v>292.3</v>
      </c>
      <c r="H344" s="82"/>
    </row>
    <row r="345" spans="2:8" x14ac:dyDescent="0.2">
      <c r="B345" s="136">
        <f t="shared" si="102"/>
        <v>2014</v>
      </c>
      <c r="C345" s="137">
        <f t="shared" si="99"/>
        <v>152.16666666666666</v>
      </c>
      <c r="D345" s="122">
        <f>+(C345-C344)/C344</f>
        <v>-2.4572649572649635E-2</v>
      </c>
      <c r="E345" s="137">
        <f t="shared" si="100"/>
        <v>105133.19775921054</v>
      </c>
      <c r="F345" s="122">
        <f t="shared" ref="F345" si="103">+(E345-E344)/E344</f>
        <v>-8.2850741465710816E-3</v>
      </c>
      <c r="G345" s="82">
        <f t="shared" si="101"/>
        <v>289.40000000000003</v>
      </c>
      <c r="H345" s="101">
        <f t="shared" ref="H345:H355" si="104">+(G345-G344)/G344</f>
        <v>-9.921313718781995E-3</v>
      </c>
    </row>
    <row r="346" spans="2:8" x14ac:dyDescent="0.2">
      <c r="B346" s="136">
        <f t="shared" si="102"/>
        <v>2015</v>
      </c>
      <c r="C346" s="137">
        <f t="shared" si="99"/>
        <v>150.83333333333334</v>
      </c>
      <c r="D346" s="122">
        <f t="shared" ref="D346:D355" si="105">+(C346-C345)/C345</f>
        <v>-8.7623220153339402E-3</v>
      </c>
      <c r="E346" s="137">
        <f t="shared" si="100"/>
        <v>104029.99681696936</v>
      </c>
      <c r="F346" s="122">
        <f t="shared" ref="F346" si="106">+(E346-E345)/E345</f>
        <v>-1.0493364282211513E-2</v>
      </c>
      <c r="G346" s="82">
        <f t="shared" si="101"/>
        <v>286.49</v>
      </c>
      <c r="H346" s="101">
        <f t="shared" si="104"/>
        <v>-1.0055286800276519E-2</v>
      </c>
    </row>
    <row r="347" spans="2:8" x14ac:dyDescent="0.2">
      <c r="B347" s="136">
        <f t="shared" si="102"/>
        <v>2016</v>
      </c>
      <c r="C347" s="137">
        <f t="shared" si="99"/>
        <v>152.41666666666666</v>
      </c>
      <c r="D347" s="122">
        <f t="shared" si="105"/>
        <v>1.0497237569060647E-2</v>
      </c>
      <c r="E347" s="137">
        <f t="shared" si="100"/>
        <v>105564.9286945004</v>
      </c>
      <c r="F347" s="122">
        <f t="shared" ref="F347" si="107">+(E347-E346)/E346</f>
        <v>1.4754704647656594E-2</v>
      </c>
      <c r="G347" s="82">
        <f t="shared" si="101"/>
        <v>289.30000000000007</v>
      </c>
      <c r="H347" s="101">
        <f t="shared" si="104"/>
        <v>9.8083702747043845E-3</v>
      </c>
    </row>
    <row r="348" spans="2:8" x14ac:dyDescent="0.2">
      <c r="B348" s="136">
        <f t="shared" si="102"/>
        <v>2017</v>
      </c>
      <c r="C348" s="137">
        <f t="shared" si="99"/>
        <v>150.83333333333334</v>
      </c>
      <c r="D348" s="122">
        <f t="shared" si="105"/>
        <v>-1.0388190267905837E-2</v>
      </c>
      <c r="E348" s="137">
        <f t="shared" si="100"/>
        <v>103381.18500143119</v>
      </c>
      <c r="F348" s="122">
        <f t="shared" ref="F348" si="108">+(E348-E347)/E347</f>
        <v>-2.0686261242963088E-2</v>
      </c>
      <c r="G348" s="82">
        <f t="shared" si="101"/>
        <v>310.00000000000006</v>
      </c>
      <c r="H348" s="101">
        <f t="shared" si="104"/>
        <v>7.1552022122364278E-2</v>
      </c>
    </row>
    <row r="349" spans="2:8" x14ac:dyDescent="0.2">
      <c r="B349" s="136">
        <f t="shared" si="102"/>
        <v>2018</v>
      </c>
      <c r="C349" s="137">
        <f t="shared" si="99"/>
        <v>153.66666666666666</v>
      </c>
      <c r="D349" s="122">
        <f t="shared" si="105"/>
        <v>1.8784530386740203E-2</v>
      </c>
      <c r="E349" s="137">
        <f t="shared" si="100"/>
        <v>102424.28203415705</v>
      </c>
      <c r="F349" s="122">
        <f t="shared" ref="F349" si="109">+(E349-E348)/E348</f>
        <v>-9.2560649915252764E-3</v>
      </c>
      <c r="G349" s="82">
        <f t="shared" si="101"/>
        <v>280.60000000000002</v>
      </c>
      <c r="H349" s="101">
        <f t="shared" si="104"/>
        <v>-9.4838709677419447E-2</v>
      </c>
    </row>
    <row r="350" spans="2:8" x14ac:dyDescent="0.2">
      <c r="B350" s="136">
        <f t="shared" si="102"/>
        <v>2019</v>
      </c>
      <c r="C350" s="137">
        <f t="shared" si="99"/>
        <v>155.5</v>
      </c>
      <c r="D350" s="122">
        <f t="shared" si="105"/>
        <v>1.1930585683297242E-2</v>
      </c>
      <c r="E350" s="137">
        <f t="shared" si="100"/>
        <v>102754.57494513884</v>
      </c>
      <c r="F350" s="122">
        <f t="shared" ref="F350" si="110">+(E350-E349)/E349</f>
        <v>3.2247520258100941E-3</v>
      </c>
      <c r="G350" s="82">
        <f t="shared" si="101"/>
        <v>283.8</v>
      </c>
      <c r="H350" s="101">
        <f t="shared" si="104"/>
        <v>1.1404133998574442E-2</v>
      </c>
    </row>
    <row r="351" spans="2:8" x14ac:dyDescent="0.2">
      <c r="B351" s="136">
        <f t="shared" si="102"/>
        <v>2020</v>
      </c>
      <c r="C351" s="137">
        <f t="shared" si="99"/>
        <v>157.66666666666666</v>
      </c>
      <c r="D351" s="122">
        <f t="shared" si="105"/>
        <v>1.3933547695605512E-2</v>
      </c>
      <c r="E351" s="137">
        <f t="shared" si="100"/>
        <v>102755.519511497</v>
      </c>
      <c r="F351" s="122">
        <f t="shared" ref="F351" si="111">+(E351-E350)/E350</f>
        <v>9.1924506394155754E-6</v>
      </c>
      <c r="G351" s="82">
        <f t="shared" si="101"/>
        <v>282.2</v>
      </c>
      <c r="H351" s="101">
        <f t="shared" si="104"/>
        <v>-5.6377730796336248E-3</v>
      </c>
    </row>
    <row r="352" spans="2:8" x14ac:dyDescent="0.2">
      <c r="B352" s="136">
        <f>+B353-1</f>
        <v>2021</v>
      </c>
      <c r="C352" s="137">
        <f t="shared" si="99"/>
        <v>158</v>
      </c>
      <c r="D352" s="122">
        <f t="shared" si="105"/>
        <v>2.1141649048626397E-3</v>
      </c>
      <c r="E352" s="137">
        <f t="shared" si="100"/>
        <v>102474.81156378207</v>
      </c>
      <c r="F352" s="122">
        <f t="shared" ref="F352" si="112">+(E352-E351)/E351</f>
        <v>-2.731804082636321E-3</v>
      </c>
      <c r="G352" s="82">
        <f t="shared" si="101"/>
        <v>282</v>
      </c>
      <c r="H352" s="101">
        <f t="shared" si="104"/>
        <v>-7.0871722182845012E-4</v>
      </c>
    </row>
    <row r="353" spans="2:8" x14ac:dyDescent="0.2">
      <c r="B353" s="136">
        <v>2022</v>
      </c>
      <c r="C353" s="137">
        <f t="shared" si="99"/>
        <v>157.25</v>
      </c>
      <c r="D353" s="122">
        <f t="shared" si="105"/>
        <v>-4.7468354430379748E-3</v>
      </c>
      <c r="E353" s="137">
        <f t="shared" si="100"/>
        <v>99742.972998759651</v>
      </c>
      <c r="F353" s="122">
        <f t="shared" ref="F353" si="113">+(E353-E352)/E352</f>
        <v>-2.6658634676503697E-2</v>
      </c>
      <c r="G353" s="82">
        <f t="shared" si="101"/>
        <v>278.2</v>
      </c>
      <c r="H353" s="101">
        <f t="shared" si="104"/>
        <v>-1.3475177304964579E-2</v>
      </c>
    </row>
    <row r="354" spans="2:8" x14ac:dyDescent="0.2">
      <c r="B354" s="88" t="str">
        <f>+B337</f>
        <v>2023 Bridge</v>
      </c>
      <c r="C354" s="88">
        <f t="shared" si="99"/>
        <v>157</v>
      </c>
      <c r="D354" s="123">
        <f t="shared" si="105"/>
        <v>-1.589825119236884E-3</v>
      </c>
      <c r="E354" s="88">
        <f t="shared" si="100"/>
        <v>99584.399114818865</v>
      </c>
      <c r="F354" s="123">
        <f t="shared" ref="F354" si="114">+(E354-E353)/E353</f>
        <v>-1.589825119236799E-3</v>
      </c>
      <c r="G354" s="88">
        <f t="shared" si="101"/>
        <v>276.80983328597222</v>
      </c>
      <c r="H354" s="123">
        <f t="shared" si="104"/>
        <v>-4.9970047233205287E-3</v>
      </c>
    </row>
    <row r="355" spans="2:8" x14ac:dyDescent="0.2">
      <c r="B355" s="88" t="str">
        <f>+B338</f>
        <v>2024 Test</v>
      </c>
      <c r="C355" s="88">
        <f t="shared" si="99"/>
        <v>157.10035188815147</v>
      </c>
      <c r="D355" s="123">
        <f t="shared" si="105"/>
        <v>6.3918400096474597E-4</v>
      </c>
      <c r="E355" s="88">
        <f t="shared" si="100"/>
        <v>99648.051869478732</v>
      </c>
      <c r="F355" s="123">
        <f t="shared" ref="F355" si="115">+(E355-E354)/E354</f>
        <v>6.3918400096460838E-4</v>
      </c>
      <c r="G355" s="88">
        <f t="shared" si="101"/>
        <v>276.98676570271829</v>
      </c>
      <c r="H355" s="123">
        <f t="shared" si="104"/>
        <v>6.3918400096459234E-4</v>
      </c>
    </row>
    <row r="358" spans="2:8" x14ac:dyDescent="0.2">
      <c r="B358" s="15" t="s">
        <v>206</v>
      </c>
      <c r="C358" s="15"/>
      <c r="D358" s="15"/>
      <c r="E358" s="15"/>
      <c r="F358" s="15"/>
    </row>
    <row r="359" spans="2:8" ht="25.5" x14ac:dyDescent="0.2">
      <c r="B359" s="95" t="s">
        <v>111</v>
      </c>
      <c r="C359" s="76" t="s">
        <v>236</v>
      </c>
      <c r="D359" s="76" t="s">
        <v>201</v>
      </c>
      <c r="E359" s="96" t="s">
        <v>61</v>
      </c>
      <c r="F359" s="96" t="s">
        <v>201</v>
      </c>
    </row>
    <row r="360" spans="2:8" x14ac:dyDescent="0.2">
      <c r="B360" s="88" t="s">
        <v>184</v>
      </c>
      <c r="C360" s="88">
        <f t="shared" ref="C360:C372" si="116">+H50</f>
        <v>104</v>
      </c>
      <c r="D360" s="88"/>
      <c r="E360" s="88">
        <f t="shared" ref="E360:E372" si="117">+K28</f>
        <v>358304</v>
      </c>
      <c r="F360" s="88"/>
    </row>
    <row r="361" spans="2:8" x14ac:dyDescent="0.2">
      <c r="B361" s="136">
        <f t="shared" ref="B361:B368" si="118">+B362-1</f>
        <v>2013</v>
      </c>
      <c r="C361" s="137">
        <f t="shared" si="116"/>
        <v>103.75</v>
      </c>
      <c r="D361" s="137"/>
      <c r="E361" s="137">
        <f t="shared" si="117"/>
        <v>384409.53280539409</v>
      </c>
      <c r="F361" s="137"/>
    </row>
    <row r="362" spans="2:8" x14ac:dyDescent="0.2">
      <c r="B362" s="136">
        <f t="shared" si="118"/>
        <v>2014</v>
      </c>
      <c r="C362" s="137">
        <f t="shared" si="116"/>
        <v>104</v>
      </c>
      <c r="D362" s="122">
        <f>+(C362-C361)/C361</f>
        <v>2.4096385542168677E-3</v>
      </c>
      <c r="E362" s="137">
        <f t="shared" si="117"/>
        <v>386243.36172938795</v>
      </c>
      <c r="F362" s="122">
        <f t="shared" ref="F362:F372" si="119">+(E362-E361)/E361</f>
        <v>4.7705084486607402E-3</v>
      </c>
    </row>
    <row r="363" spans="2:8" x14ac:dyDescent="0.2">
      <c r="B363" s="136">
        <f t="shared" si="118"/>
        <v>2015</v>
      </c>
      <c r="C363" s="137">
        <f t="shared" si="116"/>
        <v>96.5</v>
      </c>
      <c r="D363" s="122">
        <f t="shared" ref="D363:D372" si="120">+(C363-C362)/C362</f>
        <v>-7.2115384615384609E-2</v>
      </c>
      <c r="E363" s="137">
        <f t="shared" si="117"/>
        <v>382513.80184551654</v>
      </c>
      <c r="F363" s="122">
        <f t="shared" si="119"/>
        <v>-9.655984421770937E-3</v>
      </c>
    </row>
    <row r="364" spans="2:8" x14ac:dyDescent="0.2">
      <c r="B364" s="136">
        <f t="shared" si="118"/>
        <v>2016</v>
      </c>
      <c r="C364" s="137">
        <f t="shared" si="116"/>
        <v>97</v>
      </c>
      <c r="D364" s="122">
        <f t="shared" si="120"/>
        <v>5.1813471502590676E-3</v>
      </c>
      <c r="E364" s="137">
        <f t="shared" si="117"/>
        <v>401383.11638747668</v>
      </c>
      <c r="F364" s="122">
        <f t="shared" si="119"/>
        <v>4.932976130775215E-2</v>
      </c>
    </row>
    <row r="365" spans="2:8" x14ac:dyDescent="0.2">
      <c r="B365" s="136">
        <f t="shared" si="118"/>
        <v>2017</v>
      </c>
      <c r="C365" s="137">
        <f t="shared" si="116"/>
        <v>97</v>
      </c>
      <c r="D365" s="122">
        <f t="shared" si="120"/>
        <v>0</v>
      </c>
      <c r="E365" s="137">
        <f t="shared" si="117"/>
        <v>380609.58741668583</v>
      </c>
      <c r="F365" s="122">
        <f t="shared" si="119"/>
        <v>-5.1754864922462382E-2</v>
      </c>
    </row>
    <row r="366" spans="2:8" x14ac:dyDescent="0.2">
      <c r="B366" s="136">
        <f t="shared" si="118"/>
        <v>2018</v>
      </c>
      <c r="C366" s="137">
        <f t="shared" si="116"/>
        <v>97</v>
      </c>
      <c r="D366" s="122">
        <f t="shared" si="120"/>
        <v>0</v>
      </c>
      <c r="E366" s="137">
        <f t="shared" si="117"/>
        <v>375339.18519225245</v>
      </c>
      <c r="F366" s="122">
        <f t="shared" si="119"/>
        <v>-1.3847266066536091E-2</v>
      </c>
    </row>
    <row r="367" spans="2:8" x14ac:dyDescent="0.2">
      <c r="B367" s="136">
        <f t="shared" si="118"/>
        <v>2019</v>
      </c>
      <c r="C367" s="137">
        <f t="shared" si="116"/>
        <v>97</v>
      </c>
      <c r="D367" s="122">
        <f t="shared" si="120"/>
        <v>0</v>
      </c>
      <c r="E367" s="137">
        <f t="shared" si="117"/>
        <v>375339.18519225245</v>
      </c>
      <c r="F367" s="122">
        <f t="shared" si="119"/>
        <v>0</v>
      </c>
    </row>
    <row r="368" spans="2:8" x14ac:dyDescent="0.2">
      <c r="B368" s="136">
        <f t="shared" si="118"/>
        <v>2020</v>
      </c>
      <c r="C368" s="137">
        <f t="shared" si="116"/>
        <v>97</v>
      </c>
      <c r="D368" s="122">
        <f t="shared" si="120"/>
        <v>0</v>
      </c>
      <c r="E368" s="137">
        <f t="shared" si="117"/>
        <v>375339.18519225245</v>
      </c>
      <c r="F368" s="122">
        <f t="shared" si="119"/>
        <v>0</v>
      </c>
    </row>
    <row r="369" spans="2:14" x14ac:dyDescent="0.2">
      <c r="B369" s="136">
        <f>+B370-1</f>
        <v>2021</v>
      </c>
      <c r="C369" s="137">
        <f t="shared" si="116"/>
        <v>98</v>
      </c>
      <c r="D369" s="122">
        <f t="shared" si="120"/>
        <v>1.0309278350515464E-2</v>
      </c>
      <c r="E369" s="137">
        <f t="shared" si="117"/>
        <v>375339.18519225245</v>
      </c>
      <c r="F369" s="122">
        <f t="shared" si="119"/>
        <v>0</v>
      </c>
    </row>
    <row r="370" spans="2:14" x14ac:dyDescent="0.2">
      <c r="B370" s="136">
        <v>2022</v>
      </c>
      <c r="C370" s="137">
        <f t="shared" si="116"/>
        <v>98</v>
      </c>
      <c r="D370" s="122">
        <f t="shared" si="120"/>
        <v>0</v>
      </c>
      <c r="E370" s="137">
        <f t="shared" si="117"/>
        <v>375339.18519225251</v>
      </c>
      <c r="F370" s="122">
        <f t="shared" si="119"/>
        <v>1.5508016005217486E-16</v>
      </c>
    </row>
    <row r="371" spans="2:14" x14ac:dyDescent="0.2">
      <c r="B371" s="88" t="str">
        <f>+B354</f>
        <v>2023 Bridge</v>
      </c>
      <c r="C371" s="88">
        <f t="shared" si="116"/>
        <v>97</v>
      </c>
      <c r="D371" s="123">
        <f t="shared" si="120"/>
        <v>-1.020408163265306E-2</v>
      </c>
      <c r="E371" s="88">
        <f t="shared" si="117"/>
        <v>371509.19350661727</v>
      </c>
      <c r="F371" s="123">
        <f t="shared" si="119"/>
        <v>-1.0204081632653078E-2</v>
      </c>
    </row>
    <row r="372" spans="2:14" x14ac:dyDescent="0.2">
      <c r="B372" s="88" t="str">
        <f>+B355</f>
        <v>2024 Test</v>
      </c>
      <c r="C372" s="88">
        <f t="shared" si="116"/>
        <v>96.349640189523058</v>
      </c>
      <c r="D372" s="123">
        <f t="shared" si="120"/>
        <v>-6.7047403141952816E-3</v>
      </c>
      <c r="E372" s="88">
        <f t="shared" si="117"/>
        <v>369018.32083981927</v>
      </c>
      <c r="F372" s="123">
        <f t="shared" si="119"/>
        <v>-6.7047403141953232E-3</v>
      </c>
    </row>
    <row r="375" spans="2:14" x14ac:dyDescent="0.2">
      <c r="B375" s="47" t="s">
        <v>207</v>
      </c>
      <c r="I375" s="47" t="s">
        <v>241</v>
      </c>
    </row>
    <row r="376" spans="2:14" ht="25.5" x14ac:dyDescent="0.2">
      <c r="B376" s="95" t="s">
        <v>208</v>
      </c>
      <c r="C376" s="95"/>
      <c r="D376" s="95" t="s">
        <v>156</v>
      </c>
      <c r="E376" s="95" t="s">
        <v>157</v>
      </c>
      <c r="F376" s="95" t="s">
        <v>209</v>
      </c>
      <c r="G376" s="95" t="s">
        <v>14</v>
      </c>
      <c r="I376" s="95" t="s">
        <v>208</v>
      </c>
      <c r="J376" s="95" t="s">
        <v>186</v>
      </c>
      <c r="K376" s="95" t="s">
        <v>240</v>
      </c>
      <c r="L376" s="95" t="s">
        <v>209</v>
      </c>
      <c r="M376" s="95" t="s">
        <v>14</v>
      </c>
    </row>
    <row r="377" spans="2:14" x14ac:dyDescent="0.2">
      <c r="B377" s="145" t="s">
        <v>100</v>
      </c>
      <c r="C377" s="139" t="str">
        <f>+Summary!A14</f>
        <v xml:space="preserve">  Customers</v>
      </c>
      <c r="D377" s="57">
        <f>+Summary!L14</f>
        <v>11612.666666666666</v>
      </c>
      <c r="E377" s="57">
        <f>+Summary!M14</f>
        <v>11740.5</v>
      </c>
      <c r="F377" s="100">
        <f>+E377-D377</f>
        <v>127.83333333333394</v>
      </c>
      <c r="G377" s="101">
        <f>+(E377-D377)/D377</f>
        <v>1.1008094609334688E-2</v>
      </c>
      <c r="I377" s="145" t="s">
        <v>100</v>
      </c>
      <c r="J377" s="152">
        <f>D399</f>
        <v>10325</v>
      </c>
      <c r="K377" s="168">
        <f>E377</f>
        <v>11740.5</v>
      </c>
      <c r="L377" s="166">
        <f>K377-J377</f>
        <v>1415.5</v>
      </c>
      <c r="M377" s="167">
        <f>L377/J377</f>
        <v>0.13709443099273608</v>
      </c>
      <c r="N377" s="117"/>
    </row>
    <row r="378" spans="2:14" x14ac:dyDescent="0.2">
      <c r="B378" s="139"/>
      <c r="C378" s="139" t="str">
        <f>+Summary!A15</f>
        <v xml:space="preserve">  kWh</v>
      </c>
      <c r="D378" s="57">
        <f>+Summary!L15</f>
        <v>91628868.162093714</v>
      </c>
      <c r="E378" s="57">
        <f>+Summary!M15</f>
        <v>94221374.619588077</v>
      </c>
      <c r="F378" s="100">
        <f t="shared" ref="F378:F388" si="121">+E378-D378</f>
        <v>2592506.4574943632</v>
      </c>
      <c r="G378" s="101">
        <f t="shared" ref="G378:G388" si="122">+(E378-D378)/D378</f>
        <v>2.8293555399027254E-2</v>
      </c>
      <c r="I378" s="145" t="s">
        <v>101</v>
      </c>
      <c r="J378" s="152">
        <f>D401</f>
        <v>1141</v>
      </c>
      <c r="K378" s="168">
        <f>E379</f>
        <v>1168.4834481663743</v>
      </c>
      <c r="L378" s="166">
        <f t="shared" ref="L378:L382" si="123">K378-J378</f>
        <v>27.483448166374274</v>
      </c>
      <c r="M378" s="167">
        <f t="shared" ref="M378:M383" si="124">L378/J378</f>
        <v>2.4087158778592702E-2</v>
      </c>
    </row>
    <row r="379" spans="2:14" x14ac:dyDescent="0.2">
      <c r="B379" s="182" t="s">
        <v>101</v>
      </c>
      <c r="C379" s="183" t="str">
        <f>+Summary!A18</f>
        <v xml:space="preserve">  Customers</v>
      </c>
      <c r="D379" s="184">
        <f>+Summary!L18</f>
        <v>1164.25</v>
      </c>
      <c r="E379" s="184">
        <f>+Summary!M18</f>
        <v>1168.4834481663743</v>
      </c>
      <c r="F379" s="185">
        <f t="shared" si="121"/>
        <v>4.2334481663742736</v>
      </c>
      <c r="G379" s="186">
        <f t="shared" si="122"/>
        <v>3.636201989584946E-3</v>
      </c>
      <c r="I379" s="145" t="s">
        <v>102</v>
      </c>
      <c r="J379" s="152">
        <f>D403</f>
        <v>124</v>
      </c>
      <c r="K379" s="168">
        <f>E381</f>
        <v>126.13411514324987</v>
      </c>
      <c r="L379" s="166">
        <f t="shared" si="123"/>
        <v>2.1341151432498719</v>
      </c>
      <c r="M379" s="167">
        <f t="shared" si="124"/>
        <v>1.7210605993950582E-2</v>
      </c>
    </row>
    <row r="380" spans="2:14" x14ac:dyDescent="0.2">
      <c r="B380" s="187"/>
      <c r="C380" s="183" t="str">
        <f>+Summary!A19</f>
        <v xml:space="preserve">  kWh</v>
      </c>
      <c r="D380" s="184">
        <f>+Summary!L19</f>
        <v>33536336.924245115</v>
      </c>
      <c r="E380" s="184">
        <f>+Summary!M19</f>
        <v>34233745.966155298</v>
      </c>
      <c r="F380" s="185">
        <f t="shared" si="121"/>
        <v>697409.04191018268</v>
      </c>
      <c r="G380" s="186">
        <f t="shared" si="122"/>
        <v>2.0795623668904351E-2</v>
      </c>
      <c r="I380" s="145" t="s">
        <v>237</v>
      </c>
      <c r="J380" s="152">
        <f>D406</f>
        <v>2870</v>
      </c>
      <c r="K380" s="168">
        <f>E384</f>
        <v>2974.135068550856</v>
      </c>
      <c r="L380" s="166">
        <f t="shared" si="123"/>
        <v>104.13506855085598</v>
      </c>
      <c r="M380" s="167">
        <f t="shared" si="124"/>
        <v>3.6283996010751211E-2</v>
      </c>
    </row>
    <row r="381" spans="2:14" x14ac:dyDescent="0.2">
      <c r="B381" s="148" t="s">
        <v>102</v>
      </c>
      <c r="C381" s="139" t="str">
        <f>+Summary!A22</f>
        <v xml:space="preserve">  Customers</v>
      </c>
      <c r="D381" s="57">
        <f>+Summary!L22</f>
        <v>126</v>
      </c>
      <c r="E381" s="57">
        <f>+Summary!M22</f>
        <v>126.13411514324987</v>
      </c>
      <c r="F381" s="100">
        <f t="shared" si="121"/>
        <v>0.13411514324987195</v>
      </c>
      <c r="G381" s="101">
        <f t="shared" si="122"/>
        <v>1.0644058988085075E-3</v>
      </c>
      <c r="I381" s="145" t="s">
        <v>238</v>
      </c>
      <c r="J381" s="152">
        <f>D409</f>
        <v>155</v>
      </c>
      <c r="K381" s="168">
        <f>E387</f>
        <v>157.10035188815147</v>
      </c>
      <c r="L381" s="166">
        <f t="shared" si="123"/>
        <v>2.1003518881514651</v>
      </c>
      <c r="M381" s="167">
        <f t="shared" si="124"/>
        <v>1.3550657342912678E-2</v>
      </c>
    </row>
    <row r="382" spans="2:14" x14ac:dyDescent="0.2">
      <c r="B382" s="149"/>
      <c r="C382" s="139" t="str">
        <f>+Summary!A23</f>
        <v xml:space="preserve">  kWh</v>
      </c>
      <c r="D382" s="57">
        <f>+Summary!L23</f>
        <v>132562052.31591827</v>
      </c>
      <c r="E382" s="57">
        <f>+Summary!M23</f>
        <v>134063931.78607029</v>
      </c>
      <c r="F382" s="100">
        <f t="shared" si="121"/>
        <v>1501879.4701520205</v>
      </c>
      <c r="G382" s="101">
        <f t="shared" si="122"/>
        <v>1.1329633510597605E-2</v>
      </c>
      <c r="I382" s="145" t="s">
        <v>239</v>
      </c>
      <c r="J382" s="152">
        <f>D412</f>
        <v>104</v>
      </c>
      <c r="K382" s="168">
        <f>E390</f>
        <v>96.349640189523058</v>
      </c>
      <c r="L382" s="166">
        <f t="shared" si="123"/>
        <v>-7.6503598104769424</v>
      </c>
      <c r="M382" s="167">
        <f t="shared" si="124"/>
        <v>-7.3561152023816759E-2</v>
      </c>
    </row>
    <row r="383" spans="2:14" x14ac:dyDescent="0.2">
      <c r="B383" s="150"/>
      <c r="C383" s="139" t="str">
        <f>+Summary!A24</f>
        <v xml:space="preserve">  kW</v>
      </c>
      <c r="D383" s="57">
        <f>+Summary!L24</f>
        <v>312524.7633633946</v>
      </c>
      <c r="E383" s="57">
        <f>+Summary!M24</f>
        <v>316065.55439528805</v>
      </c>
      <c r="F383" s="100">
        <f t="shared" si="121"/>
        <v>3540.7910318934591</v>
      </c>
      <c r="G383" s="101">
        <f t="shared" si="122"/>
        <v>1.1329633510597467E-2</v>
      </c>
      <c r="I383" s="194" t="s">
        <v>11</v>
      </c>
      <c r="J383" s="195">
        <f>SUM(J377:J382)</f>
        <v>14719</v>
      </c>
      <c r="K383" s="195">
        <f t="shared" ref="K383:L383" si="125">SUM(K377:K382)</f>
        <v>16262.702623938154</v>
      </c>
      <c r="L383" s="195">
        <f t="shared" si="125"/>
        <v>1543.7026239381546</v>
      </c>
      <c r="M383" s="196">
        <f t="shared" si="124"/>
        <v>0.10487822704926657</v>
      </c>
    </row>
    <row r="384" spans="2:14" x14ac:dyDescent="0.2">
      <c r="B384" s="182" t="s">
        <v>210</v>
      </c>
      <c r="C384" s="183" t="str">
        <f>+Summary!A27</f>
        <v xml:space="preserve">  Connections</v>
      </c>
      <c r="D384" s="184">
        <f>+Summary!L27</f>
        <v>2963</v>
      </c>
      <c r="E384" s="184">
        <f>+Summary!M27</f>
        <v>2974.135068550856</v>
      </c>
      <c r="F384" s="185">
        <f t="shared" si="121"/>
        <v>11.135068550855976</v>
      </c>
      <c r="G384" s="186">
        <f t="shared" si="122"/>
        <v>3.7580386604306368E-3</v>
      </c>
      <c r="I384" s="15" t="s">
        <v>61</v>
      </c>
    </row>
    <row r="385" spans="2:13" ht="25.5" x14ac:dyDescent="0.2">
      <c r="B385" s="188"/>
      <c r="C385" s="183" t="str">
        <f>+Summary!A28</f>
        <v xml:space="preserve">  kWh</v>
      </c>
      <c r="D385" s="184">
        <f>+Summary!L28</f>
        <v>868557.32053391018</v>
      </c>
      <c r="E385" s="184">
        <f>+Summary!M28</f>
        <v>871821.39252327662</v>
      </c>
      <c r="F385" s="185">
        <f t="shared" si="121"/>
        <v>3264.0719893664354</v>
      </c>
      <c r="G385" s="186">
        <f t="shared" si="122"/>
        <v>3.7580386604305865E-3</v>
      </c>
      <c r="I385" s="95" t="s">
        <v>208</v>
      </c>
      <c r="J385" s="95" t="s">
        <v>186</v>
      </c>
      <c r="K385" s="95" t="s">
        <v>240</v>
      </c>
      <c r="L385" s="95" t="s">
        <v>209</v>
      </c>
      <c r="M385" s="95" t="s">
        <v>14</v>
      </c>
    </row>
    <row r="386" spans="2:13" x14ac:dyDescent="0.2">
      <c r="B386" s="187"/>
      <c r="C386" s="183" t="str">
        <f>+Summary!A29</f>
        <v xml:space="preserve">  kW</v>
      </c>
      <c r="D386" s="184">
        <f>+Summary!L29</f>
        <v>2436.1070625659263</v>
      </c>
      <c r="E386" s="184">
        <f>+Summary!M29</f>
        <v>2445.262047087997</v>
      </c>
      <c r="F386" s="185">
        <f t="shared" si="121"/>
        <v>9.1549845220706629</v>
      </c>
      <c r="G386" s="186">
        <f t="shared" si="122"/>
        <v>3.7580386604305531E-3</v>
      </c>
      <c r="I386" s="145" t="s">
        <v>100</v>
      </c>
      <c r="J386" s="152">
        <f>D400</f>
        <v>90278404</v>
      </c>
      <c r="K386" s="168">
        <f>E378</f>
        <v>94221374.619588077</v>
      </c>
      <c r="L386" s="166">
        <f>K386-J386</f>
        <v>3942970.6195880771</v>
      </c>
      <c r="M386" s="167">
        <f>L386/J386</f>
        <v>4.3675679286355983E-2</v>
      </c>
    </row>
    <row r="387" spans="2:13" x14ac:dyDescent="0.2">
      <c r="B387" s="148" t="s">
        <v>68</v>
      </c>
      <c r="C387" s="139" t="str">
        <f>+Summary!A32</f>
        <v xml:space="preserve">  Connections</v>
      </c>
      <c r="D387" s="57">
        <f>+Summary!L32</f>
        <v>157</v>
      </c>
      <c r="E387" s="57">
        <f>+Summary!M32</f>
        <v>157.10035188815147</v>
      </c>
      <c r="F387" s="100">
        <f t="shared" si="121"/>
        <v>0.10035188815146512</v>
      </c>
      <c r="G387" s="101">
        <f t="shared" si="122"/>
        <v>6.3918400096474597E-4</v>
      </c>
      <c r="I387" s="145" t="s">
        <v>101</v>
      </c>
      <c r="J387" s="152">
        <f>D402</f>
        <v>37678912</v>
      </c>
      <c r="K387" s="168">
        <f>E380</f>
        <v>34233745.966155298</v>
      </c>
      <c r="L387" s="166">
        <f t="shared" ref="L387:L391" si="126">K387-J387</f>
        <v>-3445166.0338447019</v>
      </c>
      <c r="M387" s="167">
        <f t="shared" ref="M387:M392" si="127">L387/J387</f>
        <v>-9.1434859739174576E-2</v>
      </c>
    </row>
    <row r="388" spans="2:13" x14ac:dyDescent="0.2">
      <c r="B388" s="149"/>
      <c r="C388" s="139" t="str">
        <f>+Summary!A33</f>
        <v xml:space="preserve">  kWh</v>
      </c>
      <c r="D388" s="57">
        <f>+Summary!L33</f>
        <v>99584.399114818865</v>
      </c>
      <c r="E388" s="57">
        <f>+Summary!M33</f>
        <v>99648.051869478732</v>
      </c>
      <c r="F388" s="100">
        <f t="shared" si="121"/>
        <v>63.652754659866332</v>
      </c>
      <c r="G388" s="101">
        <f t="shared" si="122"/>
        <v>6.3918400096460838E-4</v>
      </c>
      <c r="I388" s="145" t="s">
        <v>102</v>
      </c>
      <c r="J388" s="152">
        <f>D404</f>
        <v>121733913</v>
      </c>
      <c r="K388" s="168">
        <f>E382</f>
        <v>134063931.78607029</v>
      </c>
      <c r="L388" s="166">
        <f t="shared" si="126"/>
        <v>12330018.786070287</v>
      </c>
      <c r="M388" s="167">
        <f t="shared" si="127"/>
        <v>0.10128663806338245</v>
      </c>
    </row>
    <row r="389" spans="2:13" x14ac:dyDescent="0.2">
      <c r="B389" s="150"/>
      <c r="C389" s="139" t="str">
        <f>+Summary!A34</f>
        <v xml:space="preserve">  kW</v>
      </c>
      <c r="D389" s="57">
        <f>+Summary!L34</f>
        <v>276.80983328597222</v>
      </c>
      <c r="E389" s="57">
        <f>+Summary!M34</f>
        <v>276.98676570271829</v>
      </c>
      <c r="F389" s="100">
        <f t="shared" ref="F389:F392" si="128">+E389-D389</f>
        <v>0.17693241674606952</v>
      </c>
      <c r="G389" s="101">
        <f t="shared" ref="G389:G392" si="129">+(E389-D389)/D389</f>
        <v>6.3918400096459234E-4</v>
      </c>
      <c r="I389" s="145" t="s">
        <v>237</v>
      </c>
      <c r="J389" s="152">
        <f>D407</f>
        <v>1861618</v>
      </c>
      <c r="K389" s="168">
        <f>E385</f>
        <v>871821.39252327662</v>
      </c>
      <c r="L389" s="166">
        <f t="shared" si="126"/>
        <v>-989796.60747672338</v>
      </c>
      <c r="M389" s="167">
        <f t="shared" si="127"/>
        <v>-0.53168620387035548</v>
      </c>
    </row>
    <row r="390" spans="2:13" x14ac:dyDescent="0.2">
      <c r="B390" s="182" t="s">
        <v>169</v>
      </c>
      <c r="C390" s="183" t="str">
        <f>+Summary!A37</f>
        <v xml:space="preserve">  Connections</v>
      </c>
      <c r="D390" s="184">
        <f>+Summary!L37</f>
        <v>97</v>
      </c>
      <c r="E390" s="184">
        <f>+Summary!M37</f>
        <v>96.349640189523058</v>
      </c>
      <c r="F390" s="185">
        <f t="shared" si="128"/>
        <v>-0.65035981047694236</v>
      </c>
      <c r="G390" s="186">
        <f t="shared" si="129"/>
        <v>-6.7047403141952816E-3</v>
      </c>
      <c r="I390" s="145" t="s">
        <v>238</v>
      </c>
      <c r="J390" s="152">
        <f>D410</f>
        <v>122536</v>
      </c>
      <c r="K390" s="168">
        <f>E388</f>
        <v>99648.051869478732</v>
      </c>
      <c r="L390" s="166">
        <f t="shared" si="126"/>
        <v>-22887.948130521268</v>
      </c>
      <c r="M390" s="167">
        <f t="shared" si="127"/>
        <v>-0.18678550083666243</v>
      </c>
    </row>
    <row r="391" spans="2:13" x14ac:dyDescent="0.2">
      <c r="B391" s="187"/>
      <c r="C391" s="183" t="str">
        <f>+Summary!A38</f>
        <v xml:space="preserve">  kWh</v>
      </c>
      <c r="D391" s="184">
        <f>+Summary!L38</f>
        <v>371509.19350661727</v>
      </c>
      <c r="E391" s="184">
        <f>+Summary!M38</f>
        <v>369018.32083981927</v>
      </c>
      <c r="F391" s="185">
        <f t="shared" si="128"/>
        <v>-2490.8726667980081</v>
      </c>
      <c r="G391" s="186">
        <f t="shared" si="129"/>
        <v>-6.7047403141953232E-3</v>
      </c>
      <c r="I391" s="145" t="s">
        <v>239</v>
      </c>
      <c r="J391" s="152">
        <f>D413</f>
        <v>358304</v>
      </c>
      <c r="K391" s="168">
        <f>E391</f>
        <v>369018.32083981927</v>
      </c>
      <c r="L391" s="166">
        <f t="shared" si="126"/>
        <v>10714.320839819266</v>
      </c>
      <c r="M391" s="167">
        <f t="shared" si="127"/>
        <v>2.9902878114169158E-2</v>
      </c>
    </row>
    <row r="392" spans="2:13" x14ac:dyDescent="0.2">
      <c r="B392" s="148" t="s">
        <v>211</v>
      </c>
      <c r="C392" s="138" t="s">
        <v>212</v>
      </c>
      <c r="D392" s="57">
        <f>+D377+D379+D384+D387+D390+D381</f>
        <v>16119.916666666666</v>
      </c>
      <c r="E392" s="57">
        <f>+E377+E379+E384+E387+E390+E381</f>
        <v>16262.702623938154</v>
      </c>
      <c r="F392" s="100">
        <f t="shared" si="128"/>
        <v>142.78595727148786</v>
      </c>
      <c r="G392" s="101">
        <f t="shared" si="129"/>
        <v>8.8577354476494109E-3</v>
      </c>
      <c r="I392" s="194" t="s">
        <v>11</v>
      </c>
      <c r="J392" s="195">
        <f>SUM(J386:J391)</f>
        <v>252033687</v>
      </c>
      <c r="K392" s="195">
        <f t="shared" ref="K392" si="130">SUM(K386:K391)</f>
        <v>263859540.13704625</v>
      </c>
      <c r="L392" s="195">
        <f t="shared" ref="L392" si="131">SUM(L386:L391)</f>
        <v>11825853.137046237</v>
      </c>
      <c r="M392" s="196">
        <f t="shared" si="127"/>
        <v>4.6921716211080294E-2</v>
      </c>
    </row>
    <row r="393" spans="2:13" x14ac:dyDescent="0.2">
      <c r="B393" s="149"/>
      <c r="C393" s="138" t="s">
        <v>61</v>
      </c>
      <c r="D393" s="57">
        <f>+D378+D380+D382+D385+D388+D391</f>
        <v>259066908.31541243</v>
      </c>
      <c r="E393" s="57">
        <f>+E378+E380+E382+E385+E388+E391</f>
        <v>263859540.13704625</v>
      </c>
      <c r="F393" s="100">
        <f t="shared" ref="F393:F394" si="132">+E393-D393</f>
        <v>4792631.8216338158</v>
      </c>
      <c r="G393" s="101">
        <f t="shared" ref="G393:G394" si="133">+(E393-D393)/D393</f>
        <v>1.84995909079936E-2</v>
      </c>
      <c r="I393" s="15" t="s">
        <v>62</v>
      </c>
    </row>
    <row r="394" spans="2:13" ht="25.5" x14ac:dyDescent="0.2">
      <c r="B394" s="150"/>
      <c r="C394" s="138" t="str">
        <f>+C389</f>
        <v xml:space="preserve">  kW</v>
      </c>
      <c r="D394" s="57">
        <f>+D383+D386+D389</f>
        <v>315237.6802592465</v>
      </c>
      <c r="E394" s="57">
        <f>+E383+E386+E389</f>
        <v>318787.80320807878</v>
      </c>
      <c r="F394" s="100">
        <f t="shared" si="132"/>
        <v>3550.1229488322861</v>
      </c>
      <c r="G394" s="101">
        <f t="shared" si="133"/>
        <v>1.1261734149016453E-2</v>
      </c>
      <c r="I394" s="95" t="s">
        <v>208</v>
      </c>
      <c r="J394" s="95" t="s">
        <v>186</v>
      </c>
      <c r="K394" s="95" t="s">
        <v>240</v>
      </c>
      <c r="L394" s="95" t="s">
        <v>209</v>
      </c>
      <c r="M394" s="95" t="s">
        <v>14</v>
      </c>
    </row>
    <row r="395" spans="2:13" x14ac:dyDescent="0.2">
      <c r="I395" s="145" t="s">
        <v>100</v>
      </c>
      <c r="J395" s="152"/>
      <c r="K395" s="168"/>
      <c r="L395" s="166"/>
      <c r="M395" s="167"/>
    </row>
    <row r="396" spans="2:13" x14ac:dyDescent="0.2">
      <c r="I396" s="145" t="s">
        <v>101</v>
      </c>
      <c r="J396" s="152"/>
      <c r="K396" s="168"/>
      <c r="L396" s="166"/>
      <c r="M396" s="167"/>
    </row>
    <row r="397" spans="2:13" x14ac:dyDescent="0.2">
      <c r="B397" s="47" t="s">
        <v>207</v>
      </c>
      <c r="I397" s="145" t="s">
        <v>102</v>
      </c>
      <c r="J397" s="152">
        <f>D405</f>
        <v>293725</v>
      </c>
      <c r="K397" s="168">
        <f>E383</f>
        <v>316065.55439528805</v>
      </c>
      <c r="L397" s="166">
        <f>K397-J397</f>
        <v>22340.554395288054</v>
      </c>
      <c r="M397" s="167">
        <f>L397/J397</f>
        <v>7.6059424275387033E-2</v>
      </c>
    </row>
    <row r="398" spans="2:13" ht="25.5" x14ac:dyDescent="0.2">
      <c r="B398" s="95" t="s">
        <v>208</v>
      </c>
      <c r="C398" s="95" t="s">
        <v>152</v>
      </c>
      <c r="D398" s="95" t="s">
        <v>186</v>
      </c>
      <c r="E398" s="95" t="s">
        <v>152</v>
      </c>
      <c r="F398" s="95" t="s">
        <v>209</v>
      </c>
      <c r="G398" s="95" t="s">
        <v>14</v>
      </c>
      <c r="I398" s="145" t="s">
        <v>237</v>
      </c>
      <c r="J398" s="152">
        <f>D408</f>
        <v>5230</v>
      </c>
      <c r="K398" s="168">
        <f>E386</f>
        <v>2445.262047087997</v>
      </c>
      <c r="L398" s="166">
        <f>K398-J398</f>
        <v>-2784.737952912003</v>
      </c>
      <c r="M398" s="167">
        <f>L398/J398</f>
        <v>-0.53245467550898717</v>
      </c>
    </row>
    <row r="399" spans="2:13" x14ac:dyDescent="0.2">
      <c r="B399" s="145" t="s">
        <v>100</v>
      </c>
      <c r="C399" s="152" t="s">
        <v>213</v>
      </c>
      <c r="D399" s="57">
        <f>+C50</f>
        <v>10325</v>
      </c>
      <c r="E399" s="57">
        <f>+C52</f>
        <v>10344.166666666666</v>
      </c>
      <c r="F399" s="100">
        <f>+E399-D399</f>
        <v>19.16666666666606</v>
      </c>
      <c r="G399" s="101">
        <f>+(E399-D399)/D399</f>
        <v>1.8563357546407806E-3</v>
      </c>
      <c r="I399" s="145" t="s">
        <v>238</v>
      </c>
      <c r="J399" s="152">
        <f>D411</f>
        <v>339</v>
      </c>
      <c r="K399" s="168">
        <f>E389</f>
        <v>276.98676570271829</v>
      </c>
      <c r="L399" s="166">
        <f>K399-J399</f>
        <v>-62.013234297281713</v>
      </c>
      <c r="M399" s="167">
        <f>L399/J399</f>
        <v>-0.18292989468224694</v>
      </c>
    </row>
    <row r="400" spans="2:13" x14ac:dyDescent="0.2">
      <c r="B400" s="139"/>
      <c r="C400" s="138" t="s">
        <v>61</v>
      </c>
      <c r="D400" s="57">
        <f>+C28</f>
        <v>90278404</v>
      </c>
      <c r="E400" s="57">
        <f>+C30</f>
        <v>85816558.384570569</v>
      </c>
      <c r="F400" s="100">
        <f t="shared" ref="F400:F416" si="134">+E400-D400</f>
        <v>-4461845.6154294312</v>
      </c>
      <c r="G400" s="101">
        <f t="shared" ref="G400:G416" si="135">+(E400-D400)/D400</f>
        <v>-4.9423177833642598E-2</v>
      </c>
      <c r="I400" s="145" t="s">
        <v>239</v>
      </c>
      <c r="J400" s="152"/>
      <c r="K400" s="168"/>
      <c r="L400" s="166"/>
      <c r="M400" s="167"/>
    </row>
    <row r="401" spans="2:13" x14ac:dyDescent="0.2">
      <c r="B401" s="146" t="s">
        <v>101</v>
      </c>
      <c r="C401" s="140" t="s">
        <v>213</v>
      </c>
      <c r="D401" s="142">
        <f>+D50</f>
        <v>1141</v>
      </c>
      <c r="E401" s="142">
        <f>+D52</f>
        <v>1138.4166666666667</v>
      </c>
      <c r="F401" s="143">
        <f t="shared" si="134"/>
        <v>-2.5833333333332575</v>
      </c>
      <c r="G401" s="144">
        <f t="shared" si="135"/>
        <v>-2.2640958223779646E-3</v>
      </c>
      <c r="I401" s="194" t="s">
        <v>11</v>
      </c>
      <c r="J401" s="195">
        <f>SUM(J395:J400)</f>
        <v>299294</v>
      </c>
      <c r="K401" s="195">
        <f>SUM(K395:K400)</f>
        <v>318787.80320807878</v>
      </c>
      <c r="L401" s="195">
        <f>SUM(L395:L400)</f>
        <v>19493.803208078767</v>
      </c>
      <c r="M401" s="196">
        <f>L401/J401</f>
        <v>6.5132622799250126E-2</v>
      </c>
    </row>
    <row r="402" spans="2:13" x14ac:dyDescent="0.2">
      <c r="B402" s="147"/>
      <c r="C402" s="140" t="s">
        <v>61</v>
      </c>
      <c r="D402" s="142">
        <f>+D28</f>
        <v>37678912</v>
      </c>
      <c r="E402" s="142">
        <f>+D30</f>
        <v>35415553.049546637</v>
      </c>
      <c r="F402" s="143">
        <f t="shared" si="134"/>
        <v>-2263358.9504533634</v>
      </c>
      <c r="G402" s="144">
        <f t="shared" si="135"/>
        <v>-6.0069647192927525E-2</v>
      </c>
    </row>
    <row r="403" spans="2:13" x14ac:dyDescent="0.2">
      <c r="B403" s="148" t="s">
        <v>102</v>
      </c>
      <c r="C403" s="138" t="s">
        <v>213</v>
      </c>
      <c r="D403" s="57">
        <f>+E50</f>
        <v>124</v>
      </c>
      <c r="E403" s="57">
        <f>+E52</f>
        <v>132.08333333333334</v>
      </c>
      <c r="F403" s="100">
        <f t="shared" si="134"/>
        <v>8.0833333333333428</v>
      </c>
      <c r="G403" s="101">
        <f t="shared" si="135"/>
        <v>6.5188172043010834E-2</v>
      </c>
    </row>
    <row r="404" spans="2:13" x14ac:dyDescent="0.2">
      <c r="B404" s="149"/>
      <c r="C404" s="138" t="s">
        <v>61</v>
      </c>
      <c r="D404" s="57">
        <f>+E28</f>
        <v>121733913</v>
      </c>
      <c r="E404" s="57">
        <f>+E30</f>
        <v>123021881.80449331</v>
      </c>
      <c r="F404" s="100">
        <f t="shared" si="134"/>
        <v>1287968.8044933081</v>
      </c>
      <c r="G404" s="101">
        <f t="shared" si="135"/>
        <v>1.0580197191996186E-2</v>
      </c>
    </row>
    <row r="405" spans="2:13" x14ac:dyDescent="0.2">
      <c r="B405" s="150"/>
      <c r="C405" s="138" t="s">
        <v>62</v>
      </c>
      <c r="D405" s="57">
        <f>+F28</f>
        <v>293725</v>
      </c>
      <c r="E405" s="57">
        <f>+F30</f>
        <v>293508.34999999998</v>
      </c>
      <c r="F405" s="100">
        <f t="shared" si="134"/>
        <v>-216.65000000002328</v>
      </c>
      <c r="G405" s="101">
        <f t="shared" si="135"/>
        <v>-7.3759468890977368E-4</v>
      </c>
    </row>
    <row r="406" spans="2:13" x14ac:dyDescent="0.2">
      <c r="B406" s="146" t="s">
        <v>210</v>
      </c>
      <c r="C406" s="140" t="s">
        <v>214</v>
      </c>
      <c r="D406" s="142">
        <f>+F50</f>
        <v>2870</v>
      </c>
      <c r="E406" s="142">
        <f>+F52</f>
        <v>2895.75</v>
      </c>
      <c r="F406" s="143">
        <f t="shared" si="134"/>
        <v>25.75</v>
      </c>
      <c r="G406" s="144">
        <f t="shared" si="135"/>
        <v>8.9721254355400702E-3</v>
      </c>
    </row>
    <row r="407" spans="2:13" x14ac:dyDescent="0.2">
      <c r="B407" s="151"/>
      <c r="C407" s="140" t="s">
        <v>61</v>
      </c>
      <c r="D407" s="142">
        <f>+G28</f>
        <v>1861618</v>
      </c>
      <c r="E407" s="142">
        <f>+G30</f>
        <v>1731641.5322965365</v>
      </c>
      <c r="F407" s="143">
        <f t="shared" si="134"/>
        <v>-129976.46770346351</v>
      </c>
      <c r="G407" s="144">
        <f t="shared" si="135"/>
        <v>-6.9819086248340698E-2</v>
      </c>
    </row>
    <row r="408" spans="2:13" x14ac:dyDescent="0.2">
      <c r="B408" s="147"/>
      <c r="C408" s="140" t="s">
        <v>62</v>
      </c>
      <c r="D408" s="142">
        <f>+H28</f>
        <v>5230</v>
      </c>
      <c r="E408" s="142">
        <f>+F30</f>
        <v>293508.34999999998</v>
      </c>
      <c r="F408" s="143">
        <f t="shared" si="134"/>
        <v>288278.34999999998</v>
      </c>
      <c r="G408" s="144">
        <f t="shared" si="135"/>
        <v>55.120143403441681</v>
      </c>
    </row>
    <row r="409" spans="2:13" x14ac:dyDescent="0.2">
      <c r="B409" s="148" t="s">
        <v>68</v>
      </c>
      <c r="C409" s="139" t="str">
        <f>+C406</f>
        <v>Connections</v>
      </c>
      <c r="D409" s="57">
        <f>+G50</f>
        <v>155</v>
      </c>
      <c r="E409" s="57">
        <f>+G52</f>
        <v>152.16666666666666</v>
      </c>
      <c r="F409" s="100">
        <f t="shared" si="134"/>
        <v>-2.8333333333333428</v>
      </c>
      <c r="G409" s="101">
        <f t="shared" si="135"/>
        <v>-1.8279569892473178E-2</v>
      </c>
    </row>
    <row r="410" spans="2:13" x14ac:dyDescent="0.2">
      <c r="B410" s="149"/>
      <c r="C410" s="139" t="str">
        <f t="shared" ref="C410:C411" si="136">+C407</f>
        <v>kWh</v>
      </c>
      <c r="D410" s="57">
        <f>+I28</f>
        <v>122536</v>
      </c>
      <c r="E410" s="57">
        <f>+I30</f>
        <v>105133.19775921054</v>
      </c>
      <c r="F410" s="100">
        <f t="shared" si="134"/>
        <v>-17402.80224078946</v>
      </c>
      <c r="G410" s="101">
        <f t="shared" si="135"/>
        <v>-0.14202195469730905</v>
      </c>
    </row>
    <row r="411" spans="2:13" x14ac:dyDescent="0.2">
      <c r="B411" s="150"/>
      <c r="C411" s="139" t="str">
        <f t="shared" si="136"/>
        <v>kW</v>
      </c>
      <c r="D411" s="57">
        <f>+J28</f>
        <v>339</v>
      </c>
      <c r="E411" s="57">
        <f>+J30</f>
        <v>289.40000000000003</v>
      </c>
      <c r="F411" s="100">
        <f t="shared" si="134"/>
        <v>-49.599999999999966</v>
      </c>
      <c r="G411" s="101">
        <f t="shared" si="135"/>
        <v>-0.1463126843657816</v>
      </c>
    </row>
    <row r="412" spans="2:13" x14ac:dyDescent="0.2">
      <c r="B412" s="146" t="s">
        <v>169</v>
      </c>
      <c r="C412" s="141" t="str">
        <f>+C409</f>
        <v>Connections</v>
      </c>
      <c r="D412" s="142">
        <f>+H50</f>
        <v>104</v>
      </c>
      <c r="E412" s="142">
        <f>+H52</f>
        <v>104</v>
      </c>
      <c r="F412" s="143">
        <f t="shared" si="134"/>
        <v>0</v>
      </c>
      <c r="G412" s="144">
        <f t="shared" si="135"/>
        <v>0</v>
      </c>
    </row>
    <row r="413" spans="2:13" x14ac:dyDescent="0.2">
      <c r="B413" s="147"/>
      <c r="C413" s="141" t="str">
        <f>+C410</f>
        <v>kWh</v>
      </c>
      <c r="D413" s="142">
        <f>+K28</f>
        <v>358304</v>
      </c>
      <c r="E413" s="142">
        <f>+K30</f>
        <v>386243.36172938795</v>
      </c>
      <c r="F413" s="143">
        <f t="shared" si="134"/>
        <v>27939.361729387951</v>
      </c>
      <c r="G413" s="144">
        <f t="shared" si="135"/>
        <v>7.797669501146498E-2</v>
      </c>
    </row>
    <row r="414" spans="2:13" x14ac:dyDescent="0.2">
      <c r="B414" s="148" t="s">
        <v>211</v>
      </c>
      <c r="C414" s="138" t="s">
        <v>212</v>
      </c>
      <c r="D414" s="57">
        <f>+D399+D401+D406+D409+D412+D403</f>
        <v>14719</v>
      </c>
      <c r="E414" s="57">
        <f>+E399+E401+E406+E409+E412+E403</f>
        <v>14766.583333333332</v>
      </c>
      <c r="F414" s="100">
        <f t="shared" si="134"/>
        <v>47.583333333332121</v>
      </c>
      <c r="G414" s="101">
        <f t="shared" si="135"/>
        <v>3.2327830242089898E-3</v>
      </c>
    </row>
    <row r="415" spans="2:13" x14ac:dyDescent="0.2">
      <c r="B415" s="149"/>
      <c r="C415" s="138" t="s">
        <v>61</v>
      </c>
      <c r="D415" s="57">
        <f>+D400+D402+D404+D407+D410+D412</f>
        <v>251675487</v>
      </c>
      <c r="E415" s="57">
        <f>+E400+E402+E404+E407+E410+E412</f>
        <v>246090871.96866626</v>
      </c>
      <c r="F415" s="100">
        <f t="shared" si="134"/>
        <v>-5584615.0313337445</v>
      </c>
      <c r="G415" s="101">
        <f t="shared" si="135"/>
        <v>-2.2189745604162651E-2</v>
      </c>
    </row>
    <row r="416" spans="2:13" x14ac:dyDescent="0.2">
      <c r="B416" s="150"/>
      <c r="C416" s="138" t="str">
        <f>+C411</f>
        <v>kW</v>
      </c>
      <c r="D416" s="57">
        <f>+D405+D408+D411</f>
        <v>299294</v>
      </c>
      <c r="E416" s="57">
        <f>+E405+E408+E411</f>
        <v>587306.1</v>
      </c>
      <c r="F416" s="100">
        <f t="shared" si="134"/>
        <v>288012.09999999998</v>
      </c>
      <c r="G416" s="101">
        <f t="shared" si="135"/>
        <v>0.96230495766704305</v>
      </c>
    </row>
    <row r="419" spans="2:17" x14ac:dyDescent="0.2">
      <c r="B419" s="47" t="s">
        <v>227</v>
      </c>
    </row>
    <row r="420" spans="2:17" x14ac:dyDescent="0.2">
      <c r="B420" s="249" t="s">
        <v>208</v>
      </c>
      <c r="C420" s="249" t="s">
        <v>184</v>
      </c>
      <c r="D420" s="249">
        <v>2014</v>
      </c>
      <c r="E420" s="249">
        <v>2015</v>
      </c>
      <c r="F420" s="249">
        <v>2016</v>
      </c>
      <c r="G420" s="249">
        <v>2017</v>
      </c>
      <c r="H420" s="249">
        <v>2018</v>
      </c>
      <c r="I420" s="249">
        <v>2019</v>
      </c>
      <c r="J420" s="249">
        <v>2020</v>
      </c>
      <c r="K420" s="249">
        <v>2021</v>
      </c>
      <c r="L420" s="249">
        <v>2022</v>
      </c>
      <c r="M420" s="249">
        <v>2023</v>
      </c>
      <c r="N420" s="249">
        <v>2024</v>
      </c>
      <c r="Q420" s="47" t="s">
        <v>218</v>
      </c>
    </row>
    <row r="421" spans="2:17" x14ac:dyDescent="0.2">
      <c r="B421" s="249" t="s">
        <v>208</v>
      </c>
      <c r="C421" s="249" t="s">
        <v>215</v>
      </c>
      <c r="D421" s="249" t="s">
        <v>215</v>
      </c>
      <c r="E421" s="249" t="s">
        <v>215</v>
      </c>
      <c r="F421" s="249" t="s">
        <v>215</v>
      </c>
      <c r="G421" s="249" t="s">
        <v>215</v>
      </c>
      <c r="H421" s="249" t="s">
        <v>215</v>
      </c>
      <c r="I421" s="249" t="s">
        <v>215</v>
      </c>
      <c r="J421" s="249" t="s">
        <v>215</v>
      </c>
      <c r="K421" s="249" t="s">
        <v>215</v>
      </c>
      <c r="L421" s="249" t="s">
        <v>215</v>
      </c>
      <c r="M421" s="249" t="s">
        <v>215</v>
      </c>
      <c r="N421" s="249" t="s">
        <v>215</v>
      </c>
      <c r="P421">
        <v>2013</v>
      </c>
      <c r="Q421">
        <f>+'Purchd Power Model Weather norm'!P152</f>
        <v>1.0041311719273935</v>
      </c>
    </row>
    <row r="422" spans="2:17" x14ac:dyDescent="0.2">
      <c r="B422" s="138" t="s">
        <v>100</v>
      </c>
      <c r="C422" s="47" t="s">
        <v>61</v>
      </c>
      <c r="D422" s="154" cm="1">
        <f t="array" ref="D422:L422">TRANSPOSE('Rate Class Energy Model'!H4:H12)</f>
        <v>85816558.384570569</v>
      </c>
      <c r="E422" s="154">
        <v>85926418.71876052</v>
      </c>
      <c r="F422" s="154">
        <v>86214190.382619157</v>
      </c>
      <c r="G422" s="154">
        <v>83878663.289841563</v>
      </c>
      <c r="H422" s="154">
        <v>91709432.73716554</v>
      </c>
      <c r="I422" s="154">
        <v>89180443.270875081</v>
      </c>
      <c r="J422" s="154">
        <v>95587067.984431669</v>
      </c>
      <c r="K422" s="154">
        <v>95087325.556198344</v>
      </c>
      <c r="L422" s="154">
        <v>95371627.720710099</v>
      </c>
      <c r="M422" cm="1">
        <f t="array" ref="M422:N422">TRANSPOSE('Rate Class Energy Model'!H28:H29)</f>
        <v>96086664.97586228</v>
      </c>
      <c r="N422">
        <v>97144396.074612021</v>
      </c>
      <c r="P422">
        <v>2014</v>
      </c>
      <c r="Q422">
        <f>+'Purchd Power Model Weather norm'!P153</f>
        <v>1.0040179034781511</v>
      </c>
    </row>
    <row r="423" spans="2:17" x14ac:dyDescent="0.2">
      <c r="B423" s="47" t="s">
        <v>216</v>
      </c>
      <c r="C423" s="47" t="s">
        <v>61</v>
      </c>
      <c r="D423" s="154" cm="1">
        <f t="array" ref="D423:L423">TRANSPOSE('Rate Class Energy Model'!I4:I12)</f>
        <v>35415553.049546637</v>
      </c>
      <c r="E423" s="154">
        <v>34168176.853738427</v>
      </c>
      <c r="F423" s="154">
        <v>34455638.026827835</v>
      </c>
      <c r="G423" s="154">
        <v>34387085.601475</v>
      </c>
      <c r="H423" s="154">
        <v>35759952.621808477</v>
      </c>
      <c r="I423" s="154">
        <v>34942744.746606827</v>
      </c>
      <c r="J423" s="154">
        <v>33629605.964253612</v>
      </c>
      <c r="K423" s="154">
        <v>33533529.262311421</v>
      </c>
      <c r="L423" s="154">
        <v>35235863.474724725</v>
      </c>
      <c r="M423" cm="1">
        <f t="array" ref="M423:N423">TRANSPOSE('Rate Class Energy Model'!I28:I29)</f>
        <v>35167898.88593936</v>
      </c>
      <c r="N423">
        <v>35295776.469837934</v>
      </c>
      <c r="P423">
        <v>2015</v>
      </c>
      <c r="Q423">
        <f>+'Purchd Power Model Weather norm'!P154</f>
        <v>1.0033214454867867</v>
      </c>
    </row>
    <row r="424" spans="2:17" x14ac:dyDescent="0.2">
      <c r="B424" s="47" t="s">
        <v>120</v>
      </c>
      <c r="C424" s="47" t="s">
        <v>61</v>
      </c>
      <c r="D424" s="154" cm="1">
        <f t="array" ref="D424:N425">TRANSPOSE('Rate Class Load Model'!B3:C13)</f>
        <v>293508.34999999998</v>
      </c>
      <c r="E424" s="154">
        <v>288680.5</v>
      </c>
      <c r="F424" s="154">
        <v>306871.28999999998</v>
      </c>
      <c r="G424" s="154">
        <v>295314.63</v>
      </c>
      <c r="H424" s="154">
        <v>297736.30999999994</v>
      </c>
      <c r="I424" s="154">
        <v>298865.18999999994</v>
      </c>
      <c r="J424" s="154">
        <v>278922.71999999997</v>
      </c>
      <c r="K424" s="154">
        <v>301675.62</v>
      </c>
      <c r="L424" s="154">
        <v>317681.46000000008</v>
      </c>
      <c r="M424" s="154">
        <v>312524.7633633946</v>
      </c>
      <c r="N424" s="154">
        <v>316065.55439528805</v>
      </c>
      <c r="P424">
        <v>2016</v>
      </c>
      <c r="Q424">
        <f>+'Purchd Power Model Weather norm'!P155</f>
        <v>0.98991515103668526</v>
      </c>
    </row>
    <row r="425" spans="2:17" x14ac:dyDescent="0.2">
      <c r="B425" s="47" t="s">
        <v>114</v>
      </c>
      <c r="C425" s="47" t="s">
        <v>61</v>
      </c>
      <c r="D425" s="154">
        <v>4826.93</v>
      </c>
      <c r="E425" s="154">
        <v>4599.0700000000006</v>
      </c>
      <c r="F425" s="154">
        <v>2461.8700000000003</v>
      </c>
      <c r="G425" s="154">
        <v>2404.58</v>
      </c>
      <c r="H425" s="154">
        <v>2423.3099999999995</v>
      </c>
      <c r="I425" s="154">
        <v>2459.6399999999994</v>
      </c>
      <c r="J425" s="154">
        <v>2445.92</v>
      </c>
      <c r="K425" s="154">
        <v>2420.3500000000004</v>
      </c>
      <c r="L425" s="154">
        <v>2434.08</v>
      </c>
      <c r="M425" s="154">
        <v>2436.1070625659263</v>
      </c>
      <c r="N425" s="154">
        <v>2445.262047087997</v>
      </c>
      <c r="P425">
        <v>2017</v>
      </c>
      <c r="Q425">
        <f>+'Purchd Power Model Weather norm'!P156</f>
        <v>1.0091068737489748</v>
      </c>
    </row>
    <row r="426" spans="2:17" x14ac:dyDescent="0.2">
      <c r="B426" s="47" t="s">
        <v>68</v>
      </c>
      <c r="C426" s="47" t="s">
        <v>61</v>
      </c>
      <c r="D426" s="154" cm="1">
        <f t="array" ref="D426:N426">TRANSPOSE('Rate Class Load Model'!D3:D13)</f>
        <v>289.40000000000003</v>
      </c>
      <c r="E426" s="154">
        <v>286.49</v>
      </c>
      <c r="F426" s="154">
        <v>289.30000000000007</v>
      </c>
      <c r="G426" s="154">
        <v>310.00000000000006</v>
      </c>
      <c r="H426" s="154">
        <v>280.60000000000002</v>
      </c>
      <c r="I426" s="154">
        <v>283.8</v>
      </c>
      <c r="J426" s="154">
        <v>282.2</v>
      </c>
      <c r="K426" s="154">
        <v>282</v>
      </c>
      <c r="L426" s="154">
        <v>278.2</v>
      </c>
      <c r="M426" s="154">
        <v>276.80983328597222</v>
      </c>
      <c r="N426" s="154">
        <v>276.98676570271829</v>
      </c>
      <c r="P426">
        <v>2018</v>
      </c>
      <c r="Q426">
        <f>+'Purchd Power Model Weather norm'!P157</f>
        <v>0.98793055780849981</v>
      </c>
    </row>
    <row r="427" spans="2:17" x14ac:dyDescent="0.2">
      <c r="B427" s="47" t="s">
        <v>169</v>
      </c>
      <c r="C427" s="47" t="s">
        <v>61</v>
      </c>
      <c r="D427" s="154" cm="1">
        <f t="array" ref="D427:L427">TRANSPOSE('Rate Class Energy Model'!M4:M12)</f>
        <v>386243.36172938795</v>
      </c>
      <c r="E427" s="154">
        <v>382513.80184551654</v>
      </c>
      <c r="F427" s="154">
        <v>401383.11638747668</v>
      </c>
      <c r="G427" s="154">
        <v>380609.58741668583</v>
      </c>
      <c r="H427" s="154">
        <v>375339.18519225245</v>
      </c>
      <c r="I427" s="154">
        <v>375339.18519225245</v>
      </c>
      <c r="J427" s="154">
        <v>375339.18519225245</v>
      </c>
      <c r="K427" s="154">
        <v>375339.18519225245</v>
      </c>
      <c r="L427" s="154">
        <v>375339.18519225251</v>
      </c>
      <c r="M427" cm="1">
        <f t="array" ref="M427:N427">TRANSPOSE('Rate Class Energy Model'!M28:M29)</f>
        <v>371509.19350661727</v>
      </c>
      <c r="N427">
        <v>369018.32083981927</v>
      </c>
      <c r="P427">
        <v>2019</v>
      </c>
      <c r="Q427">
        <f>+'Purchd Power Model Weather norm'!P158</f>
        <v>1.0006005654671541</v>
      </c>
    </row>
    <row r="428" spans="2:17" x14ac:dyDescent="0.2">
      <c r="B428" s="47" t="s">
        <v>217</v>
      </c>
      <c r="D428" cm="1">
        <f t="array" ref="D428:N428">TRANSPOSE('Purchd Power Model Weather norm'!P153:P163)</f>
        <v>1.0040179034781511</v>
      </c>
      <c r="E428">
        <v>1.0033214454867867</v>
      </c>
      <c r="F428">
        <v>0.98991515103668526</v>
      </c>
      <c r="G428">
        <v>1.0091068737489748</v>
      </c>
      <c r="H428">
        <v>0.98793055780849981</v>
      </c>
      <c r="I428">
        <v>1.0006005654671541</v>
      </c>
      <c r="J428">
        <v>0.99529548914554633</v>
      </c>
      <c r="K428">
        <v>1.0022004898717782</v>
      </c>
      <c r="L428">
        <v>0.99755830558131042</v>
      </c>
      <c r="M428">
        <v>1.0137356071345232</v>
      </c>
      <c r="N428">
        <v>1</v>
      </c>
      <c r="P428">
        <v>2020</v>
      </c>
      <c r="Q428">
        <f>+'Purchd Power Model Weather norm'!P159</f>
        <v>0.99529548914554633</v>
      </c>
    </row>
    <row r="429" spans="2:17" x14ac:dyDescent="0.2">
      <c r="P429">
        <v>2021</v>
      </c>
      <c r="Q429">
        <f>+'Purchd Power Model Weather norm'!P160</f>
        <v>1.0022004898717782</v>
      </c>
    </row>
    <row r="430" spans="2:17" x14ac:dyDescent="0.2">
      <c r="P430">
        <v>2022</v>
      </c>
      <c r="Q430">
        <f>+'Purchd Power Model Weather norm'!P161</f>
        <v>0.99755830558131042</v>
      </c>
    </row>
    <row r="431" spans="2:17" x14ac:dyDescent="0.2">
      <c r="P431">
        <v>2023</v>
      </c>
      <c r="Q431">
        <f>+'Purchd Power Model Weather norm'!P162</f>
        <v>1.0137356071345232</v>
      </c>
    </row>
    <row r="432" spans="2:17" x14ac:dyDescent="0.2">
      <c r="P432">
        <v>2024</v>
      </c>
      <c r="Q432">
        <f>+'Purchd Power Model Weather norm'!P163</f>
        <v>1</v>
      </c>
    </row>
    <row r="436" spans="2:16" x14ac:dyDescent="0.2">
      <c r="B436" s="47" t="s">
        <v>219</v>
      </c>
    </row>
    <row r="437" spans="2:16" x14ac:dyDescent="0.2">
      <c r="J437" s="156" t="s">
        <v>224</v>
      </c>
      <c r="K437" s="157">
        <f>+D428</f>
        <v>1.0040179034781511</v>
      </c>
    </row>
    <row r="438" spans="2:16" ht="36" customHeight="1" x14ac:dyDescent="0.2">
      <c r="B438" s="249" t="s">
        <v>208</v>
      </c>
      <c r="C438" s="247" t="s">
        <v>220</v>
      </c>
      <c r="D438" s="248"/>
      <c r="E438" s="249" t="s">
        <v>221</v>
      </c>
      <c r="F438" s="247" t="s">
        <v>222</v>
      </c>
      <c r="G438" s="248"/>
      <c r="H438" s="247" t="s">
        <v>226</v>
      </c>
      <c r="I438" s="248"/>
      <c r="J438" s="247" t="s">
        <v>223</v>
      </c>
      <c r="K438" s="248"/>
      <c r="L438" s="247" t="s">
        <v>225</v>
      </c>
      <c r="M438" s="248"/>
      <c r="N438">
        <v>2014</v>
      </c>
    </row>
    <row r="439" spans="2:16" ht="27" customHeight="1" x14ac:dyDescent="0.2">
      <c r="B439" s="249" t="s">
        <v>208</v>
      </c>
      <c r="C439" s="153" t="s">
        <v>184</v>
      </c>
      <c r="D439" s="153" t="s">
        <v>152</v>
      </c>
      <c r="E439" s="249" t="s">
        <v>215</v>
      </c>
      <c r="F439" s="153" t="s">
        <v>184</v>
      </c>
      <c r="G439" s="153" t="s">
        <v>152</v>
      </c>
      <c r="H439" s="153" t="str">
        <f>+F439</f>
        <v>2014 BA</v>
      </c>
      <c r="I439" s="153" t="str">
        <f>+G439</f>
        <v>2014 Actual</v>
      </c>
      <c r="J439" s="153" t="str">
        <f t="shared" ref="J439:M439" si="137">+H439</f>
        <v>2014 BA</v>
      </c>
      <c r="K439" s="153" t="str">
        <f t="shared" si="137"/>
        <v>2014 Actual</v>
      </c>
      <c r="L439" s="153" t="str">
        <f t="shared" si="137"/>
        <v>2014 BA</v>
      </c>
      <c r="M439" s="153" t="str">
        <f t="shared" si="137"/>
        <v>2014 Actual</v>
      </c>
      <c r="P439">
        <f>145847424/15555</f>
        <v>9376.2406943105107</v>
      </c>
    </row>
    <row r="440" spans="2:16" x14ac:dyDescent="0.2">
      <c r="B440" s="138" t="s">
        <v>100</v>
      </c>
      <c r="C440" s="57" cm="1">
        <f t="array" ref="C440:C445">TRANSPOSE(C50:H50)</f>
        <v>10325</v>
      </c>
      <c r="D440" s="57" cm="1">
        <f t="array" ref="D440:D445">TRANSPOSE(C52:H52)</f>
        <v>10344.166666666666</v>
      </c>
      <c r="E440" s="100" t="s">
        <v>61</v>
      </c>
      <c r="F440" s="100">
        <f>+D400</f>
        <v>90278404</v>
      </c>
      <c r="G440" s="100">
        <f>+D422</f>
        <v>85816558.384570569</v>
      </c>
      <c r="H440" s="100">
        <f>+F440*$K$437</f>
        <v>90641133.913433537</v>
      </c>
      <c r="I440" s="100">
        <f>+G440*K$437</f>
        <v>86161361.032986894</v>
      </c>
      <c r="J440" s="100">
        <f>+F440/C440</f>
        <v>8743.6710895883771</v>
      </c>
      <c r="K440" s="100">
        <f t="shared" ref="K440:K445" si="138">+G440/D440</f>
        <v>8296.1306744126869</v>
      </c>
      <c r="L440" s="100">
        <f>+H440/C440</f>
        <v>8778.8023160710454</v>
      </c>
      <c r="M440" s="100">
        <f>+I440/D440</f>
        <v>8329.4637267046055</v>
      </c>
    </row>
    <row r="441" spans="2:16" x14ac:dyDescent="0.2">
      <c r="B441" s="138" t="s">
        <v>216</v>
      </c>
      <c r="C441" s="57">
        <v>1141</v>
      </c>
      <c r="D441" s="57">
        <v>1138.4166666666667</v>
      </c>
      <c r="E441" s="100" t="s">
        <v>61</v>
      </c>
      <c r="F441" s="100">
        <v>37678912</v>
      </c>
      <c r="G441" s="100">
        <f t="shared" ref="G441:G445" si="139">+D423</f>
        <v>35415553.049546637</v>
      </c>
      <c r="H441" s="100">
        <f t="shared" ref="H441:H445" si="140">+F441*$K$437</f>
        <v>37830302.231577747</v>
      </c>
      <c r="I441" s="100">
        <f>+G441*K$437</f>
        <v>35557849.323325053</v>
      </c>
      <c r="J441" s="100">
        <f t="shared" ref="J441:J445" si="141">+F441/C441</f>
        <v>33022.709903593342</v>
      </c>
      <c r="K441" s="100">
        <f t="shared" si="138"/>
        <v>31109.482219058606</v>
      </c>
      <c r="L441" s="100">
        <f t="shared" ref="L441:M445" si="142">+H441/C441</f>
        <v>33155.391964572962</v>
      </c>
      <c r="M441" s="100">
        <f t="shared" si="142"/>
        <v>31234.477115870039</v>
      </c>
    </row>
    <row r="442" spans="2:16" x14ac:dyDescent="0.2">
      <c r="B442" s="138" t="s">
        <v>120</v>
      </c>
      <c r="C442" s="57">
        <v>124</v>
      </c>
      <c r="D442" s="57">
        <v>132.08333333333334</v>
      </c>
      <c r="E442" s="155" t="s">
        <v>62</v>
      </c>
      <c r="F442" s="100">
        <v>293725</v>
      </c>
      <c r="G442" s="100">
        <f t="shared" si="139"/>
        <v>293508.34999999998</v>
      </c>
      <c r="H442" s="100">
        <f>+F442</f>
        <v>293725</v>
      </c>
      <c r="I442" s="100">
        <f t="shared" ref="I442:I443" si="143">+G442</f>
        <v>293508.34999999998</v>
      </c>
      <c r="J442" s="100">
        <f t="shared" si="141"/>
        <v>2368.75</v>
      </c>
      <c r="K442" s="100">
        <f t="shared" si="138"/>
        <v>2222.1452365930595</v>
      </c>
      <c r="L442" s="100">
        <f t="shared" si="142"/>
        <v>2368.75</v>
      </c>
      <c r="M442" s="100">
        <f t="shared" si="142"/>
        <v>2222.1452365930595</v>
      </c>
    </row>
    <row r="443" spans="2:16" x14ac:dyDescent="0.2">
      <c r="B443" s="138" t="s">
        <v>114</v>
      </c>
      <c r="C443" s="57">
        <v>2870</v>
      </c>
      <c r="D443" s="57">
        <v>2895.75</v>
      </c>
      <c r="E443" s="155" t="s">
        <v>62</v>
      </c>
      <c r="F443" s="100">
        <v>5230</v>
      </c>
      <c r="G443" s="100">
        <f t="shared" si="139"/>
        <v>4826.93</v>
      </c>
      <c r="H443" s="100">
        <f t="shared" ref="H443:H444" si="144">+F443</f>
        <v>5230</v>
      </c>
      <c r="I443" s="100">
        <f t="shared" si="143"/>
        <v>4826.93</v>
      </c>
      <c r="J443" s="100">
        <f t="shared" si="141"/>
        <v>1.8222996515679442</v>
      </c>
      <c r="K443" s="100">
        <f t="shared" si="138"/>
        <v>1.6669014935681603</v>
      </c>
      <c r="L443" s="100">
        <f t="shared" si="142"/>
        <v>1.8222996515679442</v>
      </c>
      <c r="M443" s="100">
        <f t="shared" si="142"/>
        <v>1.6669014935681603</v>
      </c>
    </row>
    <row r="444" spans="2:16" x14ac:dyDescent="0.2">
      <c r="B444" s="138" t="s">
        <v>68</v>
      </c>
      <c r="C444" s="57">
        <v>155</v>
      </c>
      <c r="D444" s="57">
        <v>152.16666666666666</v>
      </c>
      <c r="E444" s="155" t="s">
        <v>62</v>
      </c>
      <c r="F444" s="100">
        <v>339</v>
      </c>
      <c r="G444" s="100">
        <f t="shared" si="139"/>
        <v>289.40000000000003</v>
      </c>
      <c r="H444" s="100">
        <f t="shared" si="144"/>
        <v>339</v>
      </c>
      <c r="I444" s="100">
        <f>+G444</f>
        <v>289.40000000000003</v>
      </c>
      <c r="J444" s="100">
        <f t="shared" si="141"/>
        <v>2.1870967741935483</v>
      </c>
      <c r="K444" s="100">
        <f t="shared" si="138"/>
        <v>1.9018619934282588</v>
      </c>
      <c r="L444" s="100">
        <f t="shared" si="142"/>
        <v>2.1870967741935483</v>
      </c>
      <c r="M444" s="100">
        <f t="shared" si="142"/>
        <v>1.9018619934282588</v>
      </c>
    </row>
    <row r="445" spans="2:16" x14ac:dyDescent="0.2">
      <c r="B445" s="138" t="s">
        <v>169</v>
      </c>
      <c r="C445" s="57">
        <v>104</v>
      </c>
      <c r="D445" s="57">
        <v>104</v>
      </c>
      <c r="E445" s="155" t="s">
        <v>61</v>
      </c>
      <c r="F445" s="100">
        <f>+D413</f>
        <v>358304</v>
      </c>
      <c r="G445" s="100">
        <f t="shared" si="139"/>
        <v>386243.36172938795</v>
      </c>
      <c r="H445" s="100">
        <f t="shared" si="140"/>
        <v>359743.63088783546</v>
      </c>
      <c r="I445" s="100">
        <f t="shared" ref="I445" si="145">+G445*K$437</f>
        <v>387795.25027589325</v>
      </c>
      <c r="J445" s="100">
        <f t="shared" si="141"/>
        <v>3445.2307692307691</v>
      </c>
      <c r="K445" s="100">
        <f t="shared" si="138"/>
        <v>3713.878478167192</v>
      </c>
      <c r="L445" s="100">
        <f t="shared" si="142"/>
        <v>3459.0733739214947</v>
      </c>
      <c r="M445" s="100">
        <f t="shared" si="142"/>
        <v>3728.8004834220505</v>
      </c>
    </row>
    <row r="446" spans="2:16" x14ac:dyDescent="0.2">
      <c r="B446" s="153" t="s">
        <v>209</v>
      </c>
      <c r="C446" s="153" t="s">
        <v>228</v>
      </c>
      <c r="D446" s="153" t="s">
        <v>229</v>
      </c>
      <c r="E446" s="153"/>
      <c r="F446" s="153" t="s">
        <v>222</v>
      </c>
      <c r="G446" s="153" t="s">
        <v>229</v>
      </c>
      <c r="H446" s="153" t="str">
        <f>+F446</f>
        <v>Volume</v>
      </c>
      <c r="I446" s="153" t="str">
        <f>+G446</f>
        <v>%</v>
      </c>
      <c r="J446" s="153" t="str">
        <f t="shared" ref="J446:M446" si="146">+H446</f>
        <v>Volume</v>
      </c>
      <c r="K446" s="153" t="str">
        <f t="shared" si="146"/>
        <v>%</v>
      </c>
      <c r="L446" s="153" t="str">
        <f t="shared" si="146"/>
        <v>Volume</v>
      </c>
      <c r="M446" s="153" t="str">
        <f t="shared" si="146"/>
        <v>%</v>
      </c>
    </row>
    <row r="447" spans="2:16" x14ac:dyDescent="0.2">
      <c r="B447" s="139" t="str">
        <f>+B440</f>
        <v>Residential</v>
      </c>
      <c r="C447" s="100">
        <f>+D440-C440</f>
        <v>19.16666666666606</v>
      </c>
      <c r="D447" s="101">
        <f>(D440-C440)/C440</f>
        <v>1.8563357546407806E-3</v>
      </c>
      <c r="E447" s="100" t="str">
        <f>+E440</f>
        <v>kWh</v>
      </c>
      <c r="F447" s="100">
        <f t="shared" ref="F447:L452" si="147">+G440-F440</f>
        <v>-4461845.6154294312</v>
      </c>
      <c r="G447" s="101">
        <f t="shared" ref="G447:M452" si="148">(G440-F440)/F440</f>
        <v>-4.9423177833642598E-2</v>
      </c>
      <c r="H447" s="100">
        <f t="shared" ref="H447" si="149">+I440-H440</f>
        <v>-4479772.8804466426</v>
      </c>
      <c r="I447" s="101">
        <f t="shared" ref="I447" si="150">(I440-H440)/H440</f>
        <v>-4.942317783364264E-2</v>
      </c>
      <c r="J447" s="100">
        <f t="shared" ref="J447" si="151">+K440-J440</f>
        <v>-447.54041517569021</v>
      </c>
      <c r="K447" s="101">
        <f t="shared" ref="K447" si="152">(K440-J440)/J440</f>
        <v>-5.1184497974609763E-2</v>
      </c>
      <c r="L447" s="100">
        <f t="shared" ref="L447" si="153">+M440-L440</f>
        <v>-449.33858936643992</v>
      </c>
      <c r="M447" s="101">
        <f t="shared" ref="M447" si="154">(M440-L440)/L440</f>
        <v>-5.1184497974609992E-2</v>
      </c>
    </row>
    <row r="448" spans="2:16" x14ac:dyDescent="0.2">
      <c r="B448" s="139" t="str">
        <f t="shared" ref="B448:B452" si="155">+B441</f>
        <v>GS&lt;50 kW</v>
      </c>
      <c r="C448" s="100">
        <f t="shared" ref="C448:C452" si="156">+D441-C441</f>
        <v>-2.5833333333332575</v>
      </c>
      <c r="D448" s="101">
        <f t="shared" ref="D448:D452" si="157">(D441-C441)/C441</f>
        <v>-2.2640958223779646E-3</v>
      </c>
      <c r="E448" s="100" t="str">
        <f t="shared" ref="E448:E452" si="158">+E441</f>
        <v>kWh</v>
      </c>
      <c r="F448" s="100">
        <f t="shared" si="147"/>
        <v>-2263358.9504533634</v>
      </c>
      <c r="G448" s="101">
        <f t="shared" si="148"/>
        <v>-6.0069647192927525E-2</v>
      </c>
      <c r="H448" s="100">
        <f t="shared" si="147"/>
        <v>-2272452.9082526937</v>
      </c>
      <c r="I448" s="101">
        <f t="shared" si="148"/>
        <v>-6.0069647192927518E-2</v>
      </c>
      <c r="J448" s="100">
        <f t="shared" si="147"/>
        <v>-1913.2276845347369</v>
      </c>
      <c r="K448" s="101">
        <f t="shared" si="148"/>
        <v>-5.7936725669099326E-2</v>
      </c>
      <c r="L448" s="100">
        <f t="shared" si="147"/>
        <v>-1920.9148487029233</v>
      </c>
      <c r="M448" s="101">
        <f t="shared" si="148"/>
        <v>-5.7936725669099312E-2</v>
      </c>
    </row>
    <row r="449" spans="2:14" x14ac:dyDescent="0.2">
      <c r="B449" s="139" t="str">
        <f t="shared" si="155"/>
        <v>GS&gt;50 kW</v>
      </c>
      <c r="C449" s="100">
        <f t="shared" si="156"/>
        <v>8.0833333333333428</v>
      </c>
      <c r="D449" s="101">
        <f t="shared" si="157"/>
        <v>6.5188172043010834E-2</v>
      </c>
      <c r="E449" s="155" t="str">
        <f t="shared" si="158"/>
        <v>kW</v>
      </c>
      <c r="F449" s="100">
        <f t="shared" si="147"/>
        <v>-216.65000000002328</v>
      </c>
      <c r="G449" s="101">
        <f t="shared" si="148"/>
        <v>-7.3759468890977368E-4</v>
      </c>
      <c r="H449" s="100">
        <f t="shared" si="147"/>
        <v>-216.65000000002328</v>
      </c>
      <c r="I449" s="101">
        <f t="shared" si="148"/>
        <v>-7.3759468890977368E-4</v>
      </c>
      <c r="J449" s="100">
        <f t="shared" si="147"/>
        <v>-146.60476340694049</v>
      </c>
      <c r="K449" s="101">
        <f t="shared" si="148"/>
        <v>-6.1891192995014457E-2</v>
      </c>
      <c r="L449" s="100">
        <f t="shared" si="147"/>
        <v>-146.60476340694049</v>
      </c>
      <c r="M449" s="101">
        <f t="shared" si="148"/>
        <v>-6.1891192995014457E-2</v>
      </c>
    </row>
    <row r="450" spans="2:14" x14ac:dyDescent="0.2">
      <c r="B450" s="139" t="str">
        <f t="shared" si="155"/>
        <v>Street Lighting</v>
      </c>
      <c r="C450" s="100">
        <f t="shared" si="156"/>
        <v>25.75</v>
      </c>
      <c r="D450" s="101">
        <f t="shared" si="157"/>
        <v>8.9721254355400702E-3</v>
      </c>
      <c r="E450" s="155" t="str">
        <f t="shared" si="158"/>
        <v>kW</v>
      </c>
      <c r="F450" s="100">
        <f t="shared" si="147"/>
        <v>-403.06999999999971</v>
      </c>
      <c r="G450" s="101">
        <f t="shared" si="148"/>
        <v>-7.706883365200759E-2</v>
      </c>
      <c r="H450" s="100">
        <f t="shared" si="147"/>
        <v>-403.06999999999971</v>
      </c>
      <c r="I450" s="101">
        <f t="shared" si="148"/>
        <v>-7.706883365200759E-2</v>
      </c>
      <c r="J450" s="100">
        <f t="shared" si="147"/>
        <v>-0.15539815799978385</v>
      </c>
      <c r="K450" s="101">
        <f t="shared" si="148"/>
        <v>-8.5275853433915805E-2</v>
      </c>
      <c r="L450" s="100">
        <f t="shared" si="147"/>
        <v>-0.15539815799978385</v>
      </c>
      <c r="M450" s="101">
        <f t="shared" si="148"/>
        <v>-8.5275853433915805E-2</v>
      </c>
    </row>
    <row r="451" spans="2:14" x14ac:dyDescent="0.2">
      <c r="B451" s="139" t="str">
        <f t="shared" si="155"/>
        <v>Sentinel Lights</v>
      </c>
      <c r="C451" s="100">
        <f t="shared" si="156"/>
        <v>-2.8333333333333428</v>
      </c>
      <c r="D451" s="101">
        <f t="shared" si="157"/>
        <v>-1.8279569892473178E-2</v>
      </c>
      <c r="E451" s="155" t="str">
        <f t="shared" si="158"/>
        <v>kW</v>
      </c>
      <c r="F451" s="100">
        <f t="shared" si="147"/>
        <v>-49.599999999999966</v>
      </c>
      <c r="G451" s="101">
        <f t="shared" si="148"/>
        <v>-0.1463126843657816</v>
      </c>
      <c r="H451" s="100">
        <f t="shared" si="147"/>
        <v>-49.599999999999966</v>
      </c>
      <c r="I451" s="101">
        <f t="shared" si="148"/>
        <v>-0.1463126843657816</v>
      </c>
      <c r="J451" s="100">
        <f t="shared" si="147"/>
        <v>-0.28523478076528952</v>
      </c>
      <c r="K451" s="101">
        <f t="shared" si="148"/>
        <v>-0.1304170826507961</v>
      </c>
      <c r="L451" s="100">
        <f t="shared" si="147"/>
        <v>-0.28523478076528952</v>
      </c>
      <c r="M451" s="101">
        <f t="shared" si="148"/>
        <v>-0.1304170826507961</v>
      </c>
    </row>
    <row r="452" spans="2:14" x14ac:dyDescent="0.2">
      <c r="B452" s="139" t="str">
        <f t="shared" si="155"/>
        <v>USL</v>
      </c>
      <c r="C452" s="100">
        <f t="shared" si="156"/>
        <v>0</v>
      </c>
      <c r="D452" s="101">
        <f t="shared" si="157"/>
        <v>0</v>
      </c>
      <c r="E452" s="155" t="str">
        <f t="shared" si="158"/>
        <v>kWh</v>
      </c>
      <c r="F452" s="100">
        <f t="shared" si="147"/>
        <v>27939.361729387951</v>
      </c>
      <c r="G452" s="101">
        <f t="shared" si="148"/>
        <v>7.797669501146498E-2</v>
      </c>
      <c r="H452" s="100">
        <f t="shared" si="147"/>
        <v>28051.619388057792</v>
      </c>
      <c r="I452" s="101">
        <f t="shared" si="148"/>
        <v>7.7976695011465022E-2</v>
      </c>
      <c r="J452" s="100">
        <f t="shared" si="147"/>
        <v>268.64770893642299</v>
      </c>
      <c r="K452" s="101">
        <f t="shared" si="148"/>
        <v>7.7976695011465105E-2</v>
      </c>
      <c r="L452" s="100">
        <f t="shared" si="147"/>
        <v>269.7271095005558</v>
      </c>
      <c r="M452" s="101">
        <f t="shared" si="148"/>
        <v>7.797669501146505E-2</v>
      </c>
    </row>
    <row r="454" spans="2:14" x14ac:dyDescent="0.2">
      <c r="B454" s="47" t="s">
        <v>231</v>
      </c>
    </row>
    <row r="455" spans="2:14" x14ac:dyDescent="0.2">
      <c r="J455" s="156" t="s">
        <v>224</v>
      </c>
      <c r="K455" s="157">
        <f>+Q423</f>
        <v>1.0033214454867867</v>
      </c>
    </row>
    <row r="456" spans="2:14" ht="36" customHeight="1" x14ac:dyDescent="0.2">
      <c r="B456" s="249" t="s">
        <v>208</v>
      </c>
      <c r="C456" s="247" t="s">
        <v>220</v>
      </c>
      <c r="D456" s="248"/>
      <c r="E456" s="249" t="s">
        <v>221</v>
      </c>
      <c r="F456" s="247" t="s">
        <v>222</v>
      </c>
      <c r="G456" s="248"/>
      <c r="H456" s="247" t="s">
        <v>226</v>
      </c>
      <c r="I456" s="248"/>
      <c r="J456" s="247" t="s">
        <v>223</v>
      </c>
      <c r="K456" s="248"/>
      <c r="L456" s="247" t="s">
        <v>225</v>
      </c>
      <c r="M456" s="248"/>
      <c r="N456">
        <v>2015</v>
      </c>
    </row>
    <row r="457" spans="2:14" ht="27" customHeight="1" x14ac:dyDescent="0.2">
      <c r="B457" s="249" t="s">
        <v>208</v>
      </c>
      <c r="C457" s="153" t="s">
        <v>152</v>
      </c>
      <c r="D457" s="153" t="s">
        <v>230</v>
      </c>
      <c r="E457" s="249" t="s">
        <v>215</v>
      </c>
      <c r="F457" s="153" t="str">
        <f>+C457</f>
        <v>2014 Actual</v>
      </c>
      <c r="G457" s="153" t="str">
        <f>+D457</f>
        <v>2015 Actual</v>
      </c>
      <c r="H457" s="153" t="str">
        <f>+F457</f>
        <v>2014 Actual</v>
      </c>
      <c r="I457" s="153" t="str">
        <f>+G457</f>
        <v>2015 Actual</v>
      </c>
      <c r="J457" s="153" t="str">
        <f t="shared" ref="J457" si="159">+H457</f>
        <v>2014 Actual</v>
      </c>
      <c r="K457" s="153" t="str">
        <f t="shared" ref="K457" si="160">+I457</f>
        <v>2015 Actual</v>
      </c>
      <c r="L457" s="153" t="str">
        <f t="shared" ref="L457" si="161">+J457</f>
        <v>2014 Actual</v>
      </c>
      <c r="M457" s="153" t="str">
        <f t="shared" ref="M457" si="162">+K457</f>
        <v>2015 Actual</v>
      </c>
    </row>
    <row r="458" spans="2:14" x14ac:dyDescent="0.2">
      <c r="B458" s="138" t="s">
        <v>100</v>
      </c>
      <c r="C458" s="57">
        <f>+D440</f>
        <v>10344.166666666666</v>
      </c>
      <c r="D458" s="57" cm="1">
        <f t="array" ref="D458:D463">TRANSPOSE(C53:H53)</f>
        <v>10502.083333333334</v>
      </c>
      <c r="E458" s="100" t="s">
        <v>61</v>
      </c>
      <c r="F458" s="100">
        <f>+D422</f>
        <v>85816558.384570569</v>
      </c>
      <c r="G458" s="100">
        <f>+E422</f>
        <v>85926418.71876052</v>
      </c>
      <c r="H458" s="100">
        <f>+I440</f>
        <v>86161361.032986894</v>
      </c>
      <c r="I458" s="100">
        <f>+G458*K$455</f>
        <v>86211818.634409696</v>
      </c>
      <c r="J458" s="100">
        <f>+F458/C458</f>
        <v>8296.1306744126869</v>
      </c>
      <c r="K458" s="100">
        <f t="shared" ref="K458:K463" si="163">+G458/D458</f>
        <v>8181.8450674479363</v>
      </c>
      <c r="L458" s="100">
        <f>+H458/C458</f>
        <v>8329.4637267046055</v>
      </c>
      <c r="M458" s="100">
        <f>+I458/D458</f>
        <v>8209.0206198207998</v>
      </c>
    </row>
    <row r="459" spans="2:14" x14ac:dyDescent="0.2">
      <c r="B459" s="138" t="s">
        <v>216</v>
      </c>
      <c r="C459" s="57">
        <f t="shared" ref="C459:C463" si="164">+D441</f>
        <v>1138.4166666666667</v>
      </c>
      <c r="D459" s="57">
        <v>1133.75</v>
      </c>
      <c r="E459" s="100" t="s">
        <v>61</v>
      </c>
      <c r="F459" s="100">
        <f t="shared" ref="F459:G459" si="165">+D423</f>
        <v>35415553.049546637</v>
      </c>
      <c r="G459" s="100">
        <f t="shared" si="165"/>
        <v>34168176.853738427</v>
      </c>
      <c r="H459" s="100">
        <f t="shared" ref="H459:H463" si="166">+I441</f>
        <v>35557849.323325053</v>
      </c>
      <c r="I459" s="100">
        <f>+G459*K$455</f>
        <v>34281664.590541005</v>
      </c>
      <c r="J459" s="100">
        <f t="shared" ref="J459:J463" si="167">+F459/C459</f>
        <v>31109.482219058606</v>
      </c>
      <c r="K459" s="100">
        <f t="shared" si="163"/>
        <v>30137.31144761934</v>
      </c>
      <c r="L459" s="100">
        <f t="shared" ref="L459:L463" si="168">+H459/C459</f>
        <v>31234.477115870039</v>
      </c>
      <c r="M459" s="100">
        <f t="shared" ref="M459:M463" si="169">+I459/D459</f>
        <v>30237.41088471092</v>
      </c>
    </row>
    <row r="460" spans="2:14" x14ac:dyDescent="0.2">
      <c r="B460" s="138" t="s">
        <v>120</v>
      </c>
      <c r="C460" s="57">
        <f t="shared" si="164"/>
        <v>132.08333333333334</v>
      </c>
      <c r="D460" s="57">
        <v>138.75</v>
      </c>
      <c r="E460" s="155" t="s">
        <v>62</v>
      </c>
      <c r="F460" s="100">
        <f t="shared" ref="F460:G460" si="170">+D424</f>
        <v>293508.34999999998</v>
      </c>
      <c r="G460" s="100">
        <f t="shared" si="170"/>
        <v>288680.5</v>
      </c>
      <c r="H460" s="100">
        <f t="shared" si="166"/>
        <v>293508.34999999998</v>
      </c>
      <c r="I460" s="100">
        <f t="shared" ref="I460:I461" si="171">+G460</f>
        <v>288680.5</v>
      </c>
      <c r="J460" s="100">
        <f t="shared" si="167"/>
        <v>2222.1452365930595</v>
      </c>
      <c r="K460" s="100">
        <f t="shared" si="163"/>
        <v>2080.5801801801804</v>
      </c>
      <c r="L460" s="100">
        <f t="shared" si="168"/>
        <v>2222.1452365930595</v>
      </c>
      <c r="M460" s="100">
        <f t="shared" si="169"/>
        <v>2080.5801801801804</v>
      </c>
    </row>
    <row r="461" spans="2:14" ht="12.75" customHeight="1" x14ac:dyDescent="0.2">
      <c r="B461" s="138" t="s">
        <v>114</v>
      </c>
      <c r="C461" s="57">
        <f t="shared" si="164"/>
        <v>2895.75</v>
      </c>
      <c r="D461" s="57">
        <v>2916.25</v>
      </c>
      <c r="E461" s="155" t="s">
        <v>62</v>
      </c>
      <c r="F461" s="100">
        <f t="shared" ref="F461:G461" si="172">+D425</f>
        <v>4826.93</v>
      </c>
      <c r="G461" s="100">
        <f t="shared" si="172"/>
        <v>4599.0700000000006</v>
      </c>
      <c r="H461" s="100">
        <f t="shared" si="166"/>
        <v>4826.93</v>
      </c>
      <c r="I461" s="100">
        <f t="shared" si="171"/>
        <v>4599.0700000000006</v>
      </c>
      <c r="J461" s="100">
        <f t="shared" si="167"/>
        <v>1.6669014935681603</v>
      </c>
      <c r="K461" s="100">
        <f t="shared" si="163"/>
        <v>1.5770492927561082</v>
      </c>
      <c r="L461" s="100">
        <f t="shared" si="168"/>
        <v>1.6669014935681603</v>
      </c>
      <c r="M461" s="100">
        <f t="shared" si="169"/>
        <v>1.5770492927561082</v>
      </c>
    </row>
    <row r="462" spans="2:14" x14ac:dyDescent="0.2">
      <c r="B462" s="138" t="s">
        <v>68</v>
      </c>
      <c r="C462" s="57">
        <f t="shared" si="164"/>
        <v>152.16666666666666</v>
      </c>
      <c r="D462" s="57">
        <v>150.83333333333334</v>
      </c>
      <c r="E462" s="155" t="s">
        <v>62</v>
      </c>
      <c r="F462" s="100">
        <f t="shared" ref="F462:G462" si="173">+D426</f>
        <v>289.40000000000003</v>
      </c>
      <c r="G462" s="100">
        <f t="shared" si="173"/>
        <v>286.49</v>
      </c>
      <c r="H462" s="100">
        <f t="shared" si="166"/>
        <v>289.40000000000003</v>
      </c>
      <c r="I462" s="100">
        <f>+G462</f>
        <v>286.49</v>
      </c>
      <c r="J462" s="100">
        <f t="shared" si="167"/>
        <v>1.9018619934282588</v>
      </c>
      <c r="K462" s="100">
        <f t="shared" si="163"/>
        <v>1.8993812154696132</v>
      </c>
      <c r="L462" s="100">
        <f t="shared" si="168"/>
        <v>1.9018619934282588</v>
      </c>
      <c r="M462" s="100">
        <f t="shared" si="169"/>
        <v>1.8993812154696132</v>
      </c>
    </row>
    <row r="463" spans="2:14" x14ac:dyDescent="0.2">
      <c r="B463" s="138" t="s">
        <v>169</v>
      </c>
      <c r="C463" s="57">
        <f t="shared" si="164"/>
        <v>104</v>
      </c>
      <c r="D463" s="57">
        <v>96.5</v>
      </c>
      <c r="E463" s="155" t="s">
        <v>61</v>
      </c>
      <c r="F463" s="100">
        <f t="shared" ref="F463:G463" si="174">+D427</f>
        <v>386243.36172938795</v>
      </c>
      <c r="G463" s="100">
        <f t="shared" si="174"/>
        <v>382513.80184551654</v>
      </c>
      <c r="H463" s="100">
        <f t="shared" si="166"/>
        <v>387795.25027589325</v>
      </c>
      <c r="I463" s="100">
        <f>+G463*K$455</f>
        <v>383784.30058628996</v>
      </c>
      <c r="J463" s="100">
        <f t="shared" si="167"/>
        <v>3713.878478167192</v>
      </c>
      <c r="K463" s="100">
        <f t="shared" si="163"/>
        <v>3963.8735942540575</v>
      </c>
      <c r="L463" s="100">
        <f t="shared" si="168"/>
        <v>3728.8004834220505</v>
      </c>
      <c r="M463" s="100">
        <f t="shared" si="169"/>
        <v>3977.0393843138854</v>
      </c>
    </row>
    <row r="464" spans="2:14" x14ac:dyDescent="0.2">
      <c r="B464" s="153" t="s">
        <v>209</v>
      </c>
      <c r="C464" s="153" t="s">
        <v>228</v>
      </c>
      <c r="D464" s="153" t="s">
        <v>229</v>
      </c>
      <c r="E464" s="153"/>
      <c r="F464" s="153" t="s">
        <v>222</v>
      </c>
      <c r="G464" s="153" t="s">
        <v>229</v>
      </c>
      <c r="H464" s="153" t="str">
        <f>+F464</f>
        <v>Volume</v>
      </c>
      <c r="I464" s="153" t="str">
        <f>+G464</f>
        <v>%</v>
      </c>
      <c r="J464" s="153" t="str">
        <f t="shared" ref="J464" si="175">+H464</f>
        <v>Volume</v>
      </c>
      <c r="K464" s="153" t="str">
        <f t="shared" ref="K464" si="176">+I464</f>
        <v>%</v>
      </c>
      <c r="L464" s="153" t="str">
        <f t="shared" ref="L464" si="177">+J464</f>
        <v>Volume</v>
      </c>
      <c r="M464" s="153" t="str">
        <f t="shared" ref="M464" si="178">+K464</f>
        <v>%</v>
      </c>
    </row>
    <row r="465" spans="2:13" x14ac:dyDescent="0.2">
      <c r="B465" s="139" t="str">
        <f>+B458</f>
        <v>Residential</v>
      </c>
      <c r="C465" s="100">
        <f>+D458-C458</f>
        <v>157.91666666666788</v>
      </c>
      <c r="D465" s="101">
        <f>(D458-C458)/C458</f>
        <v>1.5266253121727339E-2</v>
      </c>
      <c r="E465" s="100" t="str">
        <f>+E458</f>
        <v>kWh</v>
      </c>
      <c r="F465" s="100">
        <f t="shared" ref="F465" si="179">+G458-F458</f>
        <v>109860.33418995142</v>
      </c>
      <c r="G465" s="101">
        <f t="shared" ref="G465" si="180">(G458-F458)/F458</f>
        <v>1.2801764165096582E-3</v>
      </c>
      <c r="H465" s="100">
        <f t="shared" ref="H465" si="181">+I458-H458</f>
        <v>50457.601422801614</v>
      </c>
      <c r="I465" s="101">
        <f t="shared" ref="I465" si="182">(I458-H458)/H458</f>
        <v>5.856175067091142E-4</v>
      </c>
      <c r="J465" s="100">
        <f t="shared" ref="J465" si="183">+K458-J458</f>
        <v>-114.28560696475051</v>
      </c>
      <c r="K465" s="101">
        <f t="shared" ref="K465" si="184">(K458-J458)/J458</f>
        <v>-1.3775772278664259E-2</v>
      </c>
      <c r="L465" s="100">
        <f t="shared" ref="L465" si="185">+M458-L458</f>
        <v>-120.44310688380574</v>
      </c>
      <c r="M465" s="101">
        <f t="shared" ref="M465" si="186">(M458-L458)/L458</f>
        <v>-1.4459887315153333E-2</v>
      </c>
    </row>
    <row r="466" spans="2:13" x14ac:dyDescent="0.2">
      <c r="B466" s="139" t="str">
        <f t="shared" ref="B466:B470" si="187">+B459</f>
        <v>GS&lt;50 kW</v>
      </c>
      <c r="C466" s="100">
        <f t="shared" ref="C466:C470" si="188">+D459-C459</f>
        <v>-4.6666666666667425</v>
      </c>
      <c r="D466" s="101">
        <f t="shared" ref="D466:D470" si="189">(D459-C459)/C459</f>
        <v>-4.0992606690579683E-3</v>
      </c>
      <c r="E466" s="100" t="str">
        <f t="shared" ref="E466:E470" si="190">+E459</f>
        <v>kWh</v>
      </c>
      <c r="F466" s="100">
        <f t="shared" ref="F466" si="191">+G459-F459</f>
        <v>-1247376.1958082095</v>
      </c>
      <c r="G466" s="101">
        <f t="shared" ref="G466" si="192">(G459-F459)/F459</f>
        <v>-3.5221141233150316E-2</v>
      </c>
      <c r="H466" s="100">
        <f t="shared" ref="H466" si="193">+I459-H459</f>
        <v>-1276184.7327840477</v>
      </c>
      <c r="I466" s="101">
        <f t="shared" ref="I466" si="194">(I459-H459)/H459</f>
        <v>-3.5890380241498543E-2</v>
      </c>
      <c r="J466" s="100">
        <f t="shared" ref="J466" si="195">+K459-J459</f>
        <v>-972.17077143926508</v>
      </c>
      <c r="K466" s="101">
        <f t="shared" ref="K466" si="196">(K459-J459)/J459</f>
        <v>-3.124998238780342E-2</v>
      </c>
      <c r="L466" s="100">
        <f t="shared" ref="L466" si="197">+M459-L459</f>
        <v>-997.06623115911862</v>
      </c>
      <c r="M466" s="101">
        <f t="shared" ref="M466" si="198">(M459-L459)/L459</f>
        <v>-3.192197607343699E-2</v>
      </c>
    </row>
    <row r="467" spans="2:13" x14ac:dyDescent="0.2">
      <c r="B467" s="139" t="str">
        <f t="shared" si="187"/>
        <v>GS&gt;50 kW</v>
      </c>
      <c r="C467" s="100">
        <f t="shared" si="188"/>
        <v>6.6666666666666572</v>
      </c>
      <c r="D467" s="101">
        <f t="shared" si="189"/>
        <v>5.0473186119873739E-2</v>
      </c>
      <c r="E467" s="155" t="str">
        <f t="shared" si="190"/>
        <v>kW</v>
      </c>
      <c r="F467" s="100">
        <f t="shared" ref="F467" si="199">+G460-F460</f>
        <v>-4827.8499999999767</v>
      </c>
      <c r="G467" s="101">
        <f t="shared" ref="G467" si="200">(G460-F460)/F460</f>
        <v>-1.6448765426946038E-2</v>
      </c>
      <c r="H467" s="100">
        <f t="shared" ref="H467" si="201">+I460-H460</f>
        <v>-4827.8499999999767</v>
      </c>
      <c r="I467" s="101">
        <f t="shared" ref="I467" si="202">(I460-H460)/H460</f>
        <v>-1.6448765426946038E-2</v>
      </c>
      <c r="J467" s="100">
        <f t="shared" ref="J467" si="203">+K460-J460</f>
        <v>-141.56505641287913</v>
      </c>
      <c r="K467" s="101">
        <f t="shared" ref="K467" si="204">(K460-J460)/J460</f>
        <v>-6.370648240342891E-2</v>
      </c>
      <c r="L467" s="100">
        <f t="shared" ref="L467" si="205">+M460-L460</f>
        <v>-141.56505641287913</v>
      </c>
      <c r="M467" s="101">
        <f t="shared" ref="M467" si="206">(M460-L460)/L460</f>
        <v>-6.370648240342891E-2</v>
      </c>
    </row>
    <row r="468" spans="2:13" x14ac:dyDescent="0.2">
      <c r="B468" s="139" t="str">
        <f t="shared" si="187"/>
        <v>Street Lighting</v>
      </c>
      <c r="C468" s="100">
        <f t="shared" si="188"/>
        <v>20.5</v>
      </c>
      <c r="D468" s="101">
        <f t="shared" si="189"/>
        <v>7.0793404126737458E-3</v>
      </c>
      <c r="E468" s="155" t="str">
        <f t="shared" si="190"/>
        <v>kW</v>
      </c>
      <c r="F468" s="100">
        <f t="shared" ref="F468" si="207">+G461-F461</f>
        <v>-227.85999999999967</v>
      </c>
      <c r="G468" s="101">
        <f t="shared" ref="G468" si="208">(G461-F461)/F461</f>
        <v>-4.7205988071092733E-2</v>
      </c>
      <c r="H468" s="100">
        <f t="shared" ref="H468" si="209">+I461-H461</f>
        <v>-227.85999999999967</v>
      </c>
      <c r="I468" s="101">
        <f t="shared" ref="I468" si="210">(I461-H461)/H461</f>
        <v>-4.7205988071092733E-2</v>
      </c>
      <c r="J468" s="100">
        <f t="shared" ref="J468" si="211">+K461-J461</f>
        <v>-8.9852200812052141E-2</v>
      </c>
      <c r="K468" s="101">
        <f t="shared" ref="K468" si="212">(K461-J461)/J461</f>
        <v>-5.3903725660305823E-2</v>
      </c>
      <c r="L468" s="100">
        <f t="shared" ref="L468" si="213">+M461-L461</f>
        <v>-8.9852200812052141E-2</v>
      </c>
      <c r="M468" s="101">
        <f t="shared" ref="M468" si="214">(M461-L461)/L461</f>
        <v>-5.3903725660305823E-2</v>
      </c>
    </row>
    <row r="469" spans="2:13" x14ac:dyDescent="0.2">
      <c r="B469" s="139" t="str">
        <f t="shared" si="187"/>
        <v>Sentinel Lights</v>
      </c>
      <c r="C469" s="100">
        <f t="shared" si="188"/>
        <v>-1.3333333333333144</v>
      </c>
      <c r="D469" s="101">
        <f t="shared" si="189"/>
        <v>-8.7623220153339402E-3</v>
      </c>
      <c r="E469" s="155" t="str">
        <f t="shared" si="190"/>
        <v>kW</v>
      </c>
      <c r="F469" s="100">
        <f t="shared" ref="F469" si="215">+G462-F462</f>
        <v>-2.910000000000025</v>
      </c>
      <c r="G469" s="101">
        <f t="shared" ref="G469" si="216">(G462-F462)/F462</f>
        <v>-1.0055286800276519E-2</v>
      </c>
      <c r="H469" s="100">
        <f t="shared" ref="H469" si="217">+I462-H462</f>
        <v>-2.910000000000025</v>
      </c>
      <c r="I469" s="101">
        <f t="shared" ref="I469" si="218">(I462-H462)/H462</f>
        <v>-1.0055286800276519E-2</v>
      </c>
      <c r="J469" s="100">
        <f t="shared" ref="J469" si="219">+K462-J462</f>
        <v>-2.4807779586455414E-3</v>
      </c>
      <c r="K469" s="101">
        <f t="shared" ref="K469" si="220">(K462-J462)/J462</f>
        <v>-1.3043943079033512E-3</v>
      </c>
      <c r="L469" s="100">
        <f t="shared" ref="L469" si="221">+M462-L462</f>
        <v>-2.4807779586455414E-3</v>
      </c>
      <c r="M469" s="101">
        <f t="shared" ref="M469" si="222">(M462-L462)/L462</f>
        <v>-1.3043943079033512E-3</v>
      </c>
    </row>
    <row r="470" spans="2:13" x14ac:dyDescent="0.2">
      <c r="B470" s="139" t="str">
        <f t="shared" si="187"/>
        <v>USL</v>
      </c>
      <c r="C470" s="100">
        <f t="shared" si="188"/>
        <v>-7.5</v>
      </c>
      <c r="D470" s="101">
        <f t="shared" si="189"/>
        <v>-7.2115384615384609E-2</v>
      </c>
      <c r="E470" s="155" t="str">
        <f t="shared" si="190"/>
        <v>kWh</v>
      </c>
      <c r="F470" s="100">
        <f t="shared" ref="F470" si="223">+G463-F463</f>
        <v>-3729.5598838714068</v>
      </c>
      <c r="G470" s="101">
        <f t="shared" ref="G470" si="224">(G463-F463)/F463</f>
        <v>-9.655984421770937E-3</v>
      </c>
      <c r="H470" s="100">
        <f t="shared" ref="H470" si="225">+I463-H463</f>
        <v>-4010.9496896032942</v>
      </c>
      <c r="I470" s="101">
        <f t="shared" ref="I470" si="226">(I463-H463)/H463</f>
        <v>-1.0342957235164025E-2</v>
      </c>
      <c r="J470" s="100">
        <f t="shared" ref="J470" si="227">+K463-J463</f>
        <v>249.99511608686544</v>
      </c>
      <c r="K470" s="101">
        <f t="shared" ref="K470" si="228">(K463-J463)/J463</f>
        <v>6.7313757721614687E-2</v>
      </c>
      <c r="L470" s="100">
        <f t="shared" ref="L470" si="229">+M463-L463</f>
        <v>248.23890089183487</v>
      </c>
      <c r="M470" s="101">
        <f t="shared" ref="M470" si="230">(M463-L463)/L463</f>
        <v>6.6573393238786902E-2</v>
      </c>
    </row>
    <row r="472" spans="2:13" x14ac:dyDescent="0.2">
      <c r="B472" s="47" t="str">
        <f>C475&amp;" vs "&amp;D475</f>
        <v>2015 Actual vs 2016 Actual</v>
      </c>
    </row>
    <row r="473" spans="2:13" x14ac:dyDescent="0.2">
      <c r="J473" s="156" t="s">
        <v>224</v>
      </c>
      <c r="K473" s="157">
        <f>+Q424</f>
        <v>0.98991515103668526</v>
      </c>
    </row>
    <row r="474" spans="2:13" x14ac:dyDescent="0.2">
      <c r="B474" s="249" t="s">
        <v>208</v>
      </c>
      <c r="C474" s="247" t="s">
        <v>220</v>
      </c>
      <c r="D474" s="248"/>
      <c r="E474" s="249" t="s">
        <v>221</v>
      </c>
      <c r="F474" s="247" t="s">
        <v>222</v>
      </c>
      <c r="G474" s="248"/>
      <c r="H474" s="247" t="s">
        <v>226</v>
      </c>
      <c r="I474" s="248"/>
      <c r="J474" s="247" t="s">
        <v>223</v>
      </c>
      <c r="K474" s="248"/>
      <c r="L474" s="247" t="s">
        <v>225</v>
      </c>
      <c r="M474" s="248"/>
    </row>
    <row r="475" spans="2:13" x14ac:dyDescent="0.2">
      <c r="B475" s="249" t="s">
        <v>208</v>
      </c>
      <c r="C475" s="153" t="s">
        <v>230</v>
      </c>
      <c r="D475" s="153" t="s">
        <v>232</v>
      </c>
      <c r="E475" s="249" t="s">
        <v>215</v>
      </c>
      <c r="F475" s="153" t="str">
        <f>+C475</f>
        <v>2015 Actual</v>
      </c>
      <c r="G475" s="153" t="str">
        <f>+D475</f>
        <v>2016 Actual</v>
      </c>
      <c r="H475" s="153" t="str">
        <f>+F475</f>
        <v>2015 Actual</v>
      </c>
      <c r="I475" s="153" t="str">
        <f>+G475</f>
        <v>2016 Actual</v>
      </c>
      <c r="J475" s="153" t="str">
        <f t="shared" ref="J475" si="231">+H475</f>
        <v>2015 Actual</v>
      </c>
      <c r="K475" s="153" t="str">
        <f t="shared" ref="K475" si="232">+I475</f>
        <v>2016 Actual</v>
      </c>
      <c r="L475" s="153" t="str">
        <f t="shared" ref="L475" si="233">+J475</f>
        <v>2015 Actual</v>
      </c>
      <c r="M475" s="153" t="str">
        <f t="shared" ref="M475" si="234">+K475</f>
        <v>2016 Actual</v>
      </c>
    </row>
    <row r="476" spans="2:13" x14ac:dyDescent="0.2">
      <c r="B476" s="138" t="s">
        <v>100</v>
      </c>
      <c r="C476" s="57">
        <f>+D458</f>
        <v>10502.083333333334</v>
      </c>
      <c r="D476" s="57" cm="1">
        <f t="array" ref="D476:D481">TRANSPOSE(C54:H54)</f>
        <v>10634.083333333334</v>
      </c>
      <c r="E476" s="100" t="s">
        <v>61</v>
      </c>
      <c r="F476" s="100">
        <f>+G458</f>
        <v>85926418.71876052</v>
      </c>
      <c r="G476" s="100">
        <f>+F422</f>
        <v>86214190.382619157</v>
      </c>
      <c r="H476" s="100">
        <f>+I458</f>
        <v>86211818.634409696</v>
      </c>
      <c r="I476" s="100">
        <f>+G476*K$473</f>
        <v>85344733.294115975</v>
      </c>
      <c r="J476" s="100">
        <f>+F476/C476</f>
        <v>8181.8450674479363</v>
      </c>
      <c r="K476" s="100">
        <f t="shared" ref="K476:K481" si="235">+G476/D476</f>
        <v>8107.3457561099121</v>
      </c>
      <c r="L476" s="100">
        <f>+H476/C476</f>
        <v>8209.0206198207998</v>
      </c>
      <c r="M476" s="100">
        <f>+I476/D476</f>
        <v>8025.584398666173</v>
      </c>
    </row>
    <row r="477" spans="2:13" x14ac:dyDescent="0.2">
      <c r="B477" s="138" t="s">
        <v>216</v>
      </c>
      <c r="C477" s="57">
        <f t="shared" ref="C477:C481" si="236">+D459</f>
        <v>1133.75</v>
      </c>
      <c r="D477" s="57">
        <v>1133.0833333333333</v>
      </c>
      <c r="E477" s="100" t="s">
        <v>61</v>
      </c>
      <c r="F477" s="100">
        <f t="shared" ref="F477:F481" si="237">+G459</f>
        <v>34168176.853738427</v>
      </c>
      <c r="G477" s="100">
        <f t="shared" ref="G477:G481" si="238">+F423</f>
        <v>34455638.026827835</v>
      </c>
      <c r="H477" s="100">
        <f t="shared" ref="H477:H481" si="239">+I459</f>
        <v>34281664.590541005</v>
      </c>
      <c r="I477" s="100">
        <f>+G477*K$473</f>
        <v>34108158.12139263</v>
      </c>
      <c r="J477" s="100">
        <f t="shared" ref="J477:J481" si="240">+F477/C477</f>
        <v>30137.31144761934</v>
      </c>
      <c r="K477" s="100">
        <f t="shared" si="235"/>
        <v>30408.741363678313</v>
      </c>
      <c r="L477" s="100">
        <f t="shared" ref="L477:L481" si="241">+H477/C477</f>
        <v>30237.41088471092</v>
      </c>
      <c r="M477" s="100">
        <f t="shared" ref="M477:M481" si="242">+I477/D477</f>
        <v>30102.073799861115</v>
      </c>
    </row>
    <row r="478" spans="2:13" x14ac:dyDescent="0.2">
      <c r="B478" s="138" t="s">
        <v>120</v>
      </c>
      <c r="C478" s="57">
        <f t="shared" si="236"/>
        <v>138.75</v>
      </c>
      <c r="D478" s="57">
        <v>139.91666666666666</v>
      </c>
      <c r="E478" s="155" t="s">
        <v>62</v>
      </c>
      <c r="F478" s="100">
        <f t="shared" si="237"/>
        <v>288680.5</v>
      </c>
      <c r="G478" s="100">
        <f t="shared" si="238"/>
        <v>306871.28999999998</v>
      </c>
      <c r="H478" s="100">
        <f t="shared" si="239"/>
        <v>288680.5</v>
      </c>
      <c r="I478" s="100">
        <f t="shared" ref="I478:I479" si="243">+G478</f>
        <v>306871.28999999998</v>
      </c>
      <c r="J478" s="100">
        <f t="shared" si="240"/>
        <v>2080.5801801801804</v>
      </c>
      <c r="K478" s="100">
        <f t="shared" si="235"/>
        <v>2193.2432876712328</v>
      </c>
      <c r="L478" s="100">
        <f t="shared" si="241"/>
        <v>2080.5801801801804</v>
      </c>
      <c r="M478" s="100">
        <f t="shared" si="242"/>
        <v>2193.2432876712328</v>
      </c>
    </row>
    <row r="479" spans="2:13" x14ac:dyDescent="0.2">
      <c r="B479" s="138" t="s">
        <v>114</v>
      </c>
      <c r="C479" s="57">
        <f t="shared" si="236"/>
        <v>2916.25</v>
      </c>
      <c r="D479" s="57">
        <v>2852.25</v>
      </c>
      <c r="E479" s="155" t="s">
        <v>62</v>
      </c>
      <c r="F479" s="100">
        <f t="shared" si="237"/>
        <v>4599.0700000000006</v>
      </c>
      <c r="G479" s="100">
        <f t="shared" si="238"/>
        <v>2461.8700000000003</v>
      </c>
      <c r="H479" s="100">
        <f t="shared" si="239"/>
        <v>4599.0700000000006</v>
      </c>
      <c r="I479" s="100">
        <f t="shared" si="243"/>
        <v>2461.8700000000003</v>
      </c>
      <c r="J479" s="100">
        <f t="shared" si="240"/>
        <v>1.5770492927561082</v>
      </c>
      <c r="K479" s="100">
        <f t="shared" si="235"/>
        <v>0.8631326146025069</v>
      </c>
      <c r="L479" s="100">
        <f t="shared" si="241"/>
        <v>1.5770492927561082</v>
      </c>
      <c r="M479" s="100">
        <f t="shared" si="242"/>
        <v>0.8631326146025069</v>
      </c>
    </row>
    <row r="480" spans="2:13" x14ac:dyDescent="0.2">
      <c r="B480" s="138" t="s">
        <v>68</v>
      </c>
      <c r="C480" s="57">
        <f t="shared" si="236"/>
        <v>150.83333333333334</v>
      </c>
      <c r="D480" s="57">
        <v>152.41666666666666</v>
      </c>
      <c r="E480" s="155" t="s">
        <v>62</v>
      </c>
      <c r="F480" s="100">
        <f t="shared" si="237"/>
        <v>286.49</v>
      </c>
      <c r="G480" s="100">
        <f t="shared" si="238"/>
        <v>289.30000000000007</v>
      </c>
      <c r="H480" s="100">
        <f t="shared" si="239"/>
        <v>286.49</v>
      </c>
      <c r="I480" s="100">
        <f>+G480</f>
        <v>289.30000000000007</v>
      </c>
      <c r="J480" s="100">
        <f t="shared" si="240"/>
        <v>1.8993812154696132</v>
      </c>
      <c r="K480" s="100">
        <f t="shared" si="235"/>
        <v>1.8980863860032811</v>
      </c>
      <c r="L480" s="100">
        <f t="shared" si="241"/>
        <v>1.8993812154696132</v>
      </c>
      <c r="M480" s="100">
        <f t="shared" si="242"/>
        <v>1.8980863860032811</v>
      </c>
    </row>
    <row r="481" spans="2:13" x14ac:dyDescent="0.2">
      <c r="B481" s="138" t="s">
        <v>169</v>
      </c>
      <c r="C481" s="57">
        <f t="shared" si="236"/>
        <v>96.5</v>
      </c>
      <c r="D481" s="57">
        <v>97</v>
      </c>
      <c r="E481" s="155" t="s">
        <v>61</v>
      </c>
      <c r="F481" s="100">
        <f t="shared" si="237"/>
        <v>382513.80184551654</v>
      </c>
      <c r="G481" s="100">
        <f t="shared" si="238"/>
        <v>401383.11638747668</v>
      </c>
      <c r="H481" s="100">
        <f t="shared" si="239"/>
        <v>383784.30058628996</v>
      </c>
      <c r="I481" s="100">
        <f>+G481*K$473</f>
        <v>397335.2282822844</v>
      </c>
      <c r="J481" s="100">
        <f t="shared" si="240"/>
        <v>3963.8735942540575</v>
      </c>
      <c r="K481" s="100">
        <f t="shared" si="235"/>
        <v>4137.9702720358418</v>
      </c>
      <c r="L481" s="100">
        <f t="shared" si="241"/>
        <v>3977.0393843138854</v>
      </c>
      <c r="M481" s="100">
        <f t="shared" si="242"/>
        <v>4096.2394668276738</v>
      </c>
    </row>
    <row r="482" spans="2:13" x14ac:dyDescent="0.2">
      <c r="B482" s="153" t="s">
        <v>209</v>
      </c>
      <c r="C482" s="153" t="s">
        <v>228</v>
      </c>
      <c r="D482" s="153" t="s">
        <v>229</v>
      </c>
      <c r="E482" s="153"/>
      <c r="F482" s="153" t="s">
        <v>222</v>
      </c>
      <c r="G482" s="153" t="s">
        <v>229</v>
      </c>
      <c r="H482" s="153" t="str">
        <f>+F482</f>
        <v>Volume</v>
      </c>
      <c r="I482" s="153" t="str">
        <f>+G482</f>
        <v>%</v>
      </c>
      <c r="J482" s="153" t="str">
        <f t="shared" ref="J482" si="244">+H482</f>
        <v>Volume</v>
      </c>
      <c r="K482" s="153" t="str">
        <f t="shared" ref="K482" si="245">+I482</f>
        <v>%</v>
      </c>
      <c r="L482" s="153" t="str">
        <f t="shared" ref="L482" si="246">+J482</f>
        <v>Volume</v>
      </c>
      <c r="M482" s="153" t="str">
        <f t="shared" ref="M482" si="247">+K482</f>
        <v>%</v>
      </c>
    </row>
    <row r="483" spans="2:13" x14ac:dyDescent="0.2">
      <c r="B483" s="139" t="str">
        <f>+B476</f>
        <v>Residential</v>
      </c>
      <c r="C483" s="100">
        <f>+D476-C476</f>
        <v>132</v>
      </c>
      <c r="D483" s="101">
        <f>(D476-C476)/C476</f>
        <v>1.2568934735171592E-2</v>
      </c>
      <c r="E483" s="100" t="str">
        <f>+E476</f>
        <v>kWh</v>
      </c>
      <c r="F483" s="100">
        <f t="shared" ref="F483" si="248">+G476-F476</f>
        <v>287771.66385863721</v>
      </c>
      <c r="G483" s="101">
        <f t="shared" ref="G483" si="249">(G476-F476)/F476</f>
        <v>3.349047570579214E-3</v>
      </c>
      <c r="H483" s="100">
        <f t="shared" ref="H483" si="250">+I476-H476</f>
        <v>-867085.34029372036</v>
      </c>
      <c r="I483" s="101">
        <f t="shared" ref="I483" si="251">(I476-H476)/H476</f>
        <v>-1.0057615696180673E-2</v>
      </c>
      <c r="J483" s="100">
        <f t="shared" ref="J483" si="252">+K476-J476</f>
        <v>-74.499311338024199</v>
      </c>
      <c r="K483" s="101">
        <f t="shared" ref="K483" si="253">(K476-J476)/J476</f>
        <v>-9.1054414650828704E-3</v>
      </c>
      <c r="L483" s="100">
        <f t="shared" ref="L483" si="254">+M476-L476</f>
        <v>-183.43622115462676</v>
      </c>
      <c r="M483" s="101">
        <f t="shared" ref="M483:M488" si="255">(M476-L476)/L476</f>
        <v>-2.234568892563351E-2</v>
      </c>
    </row>
    <row r="484" spans="2:13" x14ac:dyDescent="0.2">
      <c r="B484" s="139" t="str">
        <f t="shared" ref="B484:B488" si="256">+B477</f>
        <v>GS&lt;50 kW</v>
      </c>
      <c r="C484" s="100">
        <f t="shared" ref="C484:C488" si="257">+D477-C477</f>
        <v>-0.66666666666674246</v>
      </c>
      <c r="D484" s="101">
        <f t="shared" ref="D484:D488" si="258">(D477-C477)/C477</f>
        <v>-5.8801911062116203E-4</v>
      </c>
      <c r="E484" s="100" t="str">
        <f t="shared" ref="E484:E488" si="259">+E477</f>
        <v>kWh</v>
      </c>
      <c r="F484" s="100">
        <f t="shared" ref="F484" si="260">+G477-F477</f>
        <v>287461.17308940738</v>
      </c>
      <c r="G484" s="101">
        <f t="shared" ref="G484" si="261">(G477-F477)/F477</f>
        <v>8.4131258837696968E-3</v>
      </c>
      <c r="H484" s="100">
        <f t="shared" ref="H484" si="262">+I477-H477</f>
        <v>-173506.46914837509</v>
      </c>
      <c r="I484" s="101">
        <f t="shared" ref="I484" si="263">(I477-H477)/H477</f>
        <v>-5.0612031597861498E-3</v>
      </c>
      <c r="J484" s="100">
        <f t="shared" ref="J484" si="264">+K477-J477</f>
        <v>271.42991605897259</v>
      </c>
      <c r="K484" s="101">
        <f t="shared" ref="K484" si="265">(K477-J477)/J477</f>
        <v>9.0064409537903185E-3</v>
      </c>
      <c r="L484" s="100">
        <f t="shared" ref="L484" si="266">+M477-L477</f>
        <v>-135.33708484980525</v>
      </c>
      <c r="M484" s="101">
        <f t="shared" si="255"/>
        <v>-4.4758159144583495E-3</v>
      </c>
    </row>
    <row r="485" spans="2:13" x14ac:dyDescent="0.2">
      <c r="B485" s="139" t="str">
        <f t="shared" si="256"/>
        <v>GS&gt;50 kW</v>
      </c>
      <c r="C485" s="100">
        <f t="shared" si="257"/>
        <v>1.1666666666666572</v>
      </c>
      <c r="D485" s="101">
        <f t="shared" si="258"/>
        <v>8.4084084084083393E-3</v>
      </c>
      <c r="E485" s="155" t="str">
        <f t="shared" si="259"/>
        <v>kW</v>
      </c>
      <c r="F485" s="100">
        <f t="shared" ref="F485" si="267">+G478-F478</f>
        <v>18190.789999999979</v>
      </c>
      <c r="G485" s="101">
        <f t="shared" ref="G485" si="268">(G478-F478)/F478</f>
        <v>6.3013573829891451E-2</v>
      </c>
      <c r="H485" s="100">
        <f t="shared" ref="H485" si="269">+I478-H478</f>
        <v>18190.789999999979</v>
      </c>
      <c r="I485" s="101">
        <f t="shared" ref="I485" si="270">(I478-H478)/H478</f>
        <v>6.3013573829891451E-2</v>
      </c>
      <c r="J485" s="100">
        <f t="shared" ref="J485" si="271">+K478-J478</f>
        <v>112.66310749105241</v>
      </c>
      <c r="K485" s="101">
        <f t="shared" ref="K485" si="272">(K478-J478)/J478</f>
        <v>5.4149851356026894E-2</v>
      </c>
      <c r="L485" s="100">
        <f t="shared" ref="L485" si="273">+M478-L478</f>
        <v>112.66310749105241</v>
      </c>
      <c r="M485" s="101">
        <f t="shared" si="255"/>
        <v>5.4149851356026894E-2</v>
      </c>
    </row>
    <row r="486" spans="2:13" x14ac:dyDescent="0.2">
      <c r="B486" s="139" t="str">
        <f t="shared" si="256"/>
        <v>Street Lighting</v>
      </c>
      <c r="C486" s="100">
        <f t="shared" si="257"/>
        <v>-64</v>
      </c>
      <c r="D486" s="101">
        <f t="shared" si="258"/>
        <v>-2.1945992284612088E-2</v>
      </c>
      <c r="E486" s="155" t="str">
        <f t="shared" si="259"/>
        <v>kW</v>
      </c>
      <c r="F486" s="100">
        <f t="shared" ref="F486" si="274">+G479-F479</f>
        <v>-2137.2000000000003</v>
      </c>
      <c r="G486" s="101">
        <f t="shared" ref="G486" si="275">(G479-F479)/F479</f>
        <v>-0.46470264640459918</v>
      </c>
      <c r="H486" s="100">
        <f t="shared" ref="H486" si="276">+I479-H479</f>
        <v>-2137.2000000000003</v>
      </c>
      <c r="I486" s="101">
        <f t="shared" ref="I486" si="277">(I479-H479)/H479</f>
        <v>-0.46470264640459918</v>
      </c>
      <c r="J486" s="100">
        <f t="shared" ref="J486" si="278">+K479-J479</f>
        <v>-0.71391667815360127</v>
      </c>
      <c r="K486" s="101">
        <f t="shared" ref="K486" si="279">(K479-J479)/J479</f>
        <v>-0.45269141645276967</v>
      </c>
      <c r="L486" s="100">
        <f t="shared" ref="L486" si="280">+M479-L479</f>
        <v>-0.71391667815360127</v>
      </c>
      <c r="M486" s="101">
        <f t="shared" si="255"/>
        <v>-0.45269141645276967</v>
      </c>
    </row>
    <row r="487" spans="2:13" x14ac:dyDescent="0.2">
      <c r="B487" s="139" t="str">
        <f t="shared" si="256"/>
        <v>Sentinel Lights</v>
      </c>
      <c r="C487" s="100">
        <f t="shared" si="257"/>
        <v>1.5833333333333144</v>
      </c>
      <c r="D487" s="101">
        <f t="shared" si="258"/>
        <v>1.0497237569060647E-2</v>
      </c>
      <c r="E487" s="155" t="str">
        <f t="shared" si="259"/>
        <v>kW</v>
      </c>
      <c r="F487" s="100">
        <f t="shared" ref="F487" si="281">+G480-F480</f>
        <v>2.8100000000000591</v>
      </c>
      <c r="G487" s="101">
        <f t="shared" ref="G487" si="282">(G480-F480)/F480</f>
        <v>9.8083702747043845E-3</v>
      </c>
      <c r="H487" s="100">
        <f t="shared" ref="H487" si="283">+I480-H480</f>
        <v>2.8100000000000591</v>
      </c>
      <c r="I487" s="101">
        <f t="shared" ref="I487" si="284">(I480-H480)/H480</f>
        <v>9.8083702747043845E-3</v>
      </c>
      <c r="J487" s="100">
        <f t="shared" ref="J487" si="285">+K480-J480</f>
        <v>-1.2948294663321924E-3</v>
      </c>
      <c r="K487" s="101">
        <f t="shared" ref="K487" si="286">(K480-J480)/J480</f>
        <v>-6.8171120983317286E-4</v>
      </c>
      <c r="L487" s="100">
        <f t="shared" ref="L487" si="287">+M480-L480</f>
        <v>-1.2948294663321924E-3</v>
      </c>
      <c r="M487" s="101">
        <f t="shared" si="255"/>
        <v>-6.8171120983317286E-4</v>
      </c>
    </row>
    <row r="488" spans="2:13" x14ac:dyDescent="0.2">
      <c r="B488" s="139" t="str">
        <f t="shared" si="256"/>
        <v>USL</v>
      </c>
      <c r="C488" s="100">
        <f t="shared" si="257"/>
        <v>0.5</v>
      </c>
      <c r="D488" s="101">
        <f t="shared" si="258"/>
        <v>5.1813471502590676E-3</v>
      </c>
      <c r="E488" s="155" t="str">
        <f t="shared" si="259"/>
        <v>kWh</v>
      </c>
      <c r="F488" s="100">
        <f t="shared" ref="F488" si="288">+G481-F481</f>
        <v>18869.314541960135</v>
      </c>
      <c r="G488" s="101">
        <f t="shared" ref="G488" si="289">(G481-F481)/F481</f>
        <v>4.932976130775215E-2</v>
      </c>
      <c r="H488" s="100">
        <f t="shared" ref="H488" si="290">+I481-H481</f>
        <v>13550.92769599444</v>
      </c>
      <c r="I488" s="101">
        <f t="shared" ref="I488" si="291">(I481-H481)/H481</f>
        <v>3.5308707717572864E-2</v>
      </c>
      <c r="J488" s="100">
        <f t="shared" ref="J488" si="292">+K481-J481</f>
        <v>174.09667778178436</v>
      </c>
      <c r="K488" s="101">
        <f t="shared" ref="K488" si="293">(K481-J481)/J481</f>
        <v>4.3920845012351308E-2</v>
      </c>
      <c r="L488" s="100">
        <f t="shared" ref="L488" si="294">+M481-L481</f>
        <v>119.2000825137884</v>
      </c>
      <c r="M488" s="101">
        <f t="shared" si="255"/>
        <v>2.9972064894286349E-2</v>
      </c>
    </row>
    <row r="490" spans="2:13" x14ac:dyDescent="0.2">
      <c r="B490" s="47" t="str">
        <f>C493&amp;" vs "&amp;D493</f>
        <v>2016 Actual vs 2017 Actual</v>
      </c>
    </row>
    <row r="491" spans="2:13" x14ac:dyDescent="0.2">
      <c r="J491" s="156" t="s">
        <v>224</v>
      </c>
      <c r="K491" s="157">
        <f>+Q425</f>
        <v>1.0091068737489748</v>
      </c>
    </row>
    <row r="492" spans="2:13" x14ac:dyDescent="0.2">
      <c r="B492" s="249" t="s">
        <v>208</v>
      </c>
      <c r="C492" s="247" t="s">
        <v>220</v>
      </c>
      <c r="D492" s="248"/>
      <c r="E492" s="249" t="s">
        <v>221</v>
      </c>
      <c r="F492" s="247" t="s">
        <v>222</v>
      </c>
      <c r="G492" s="248"/>
      <c r="H492" s="247" t="s">
        <v>226</v>
      </c>
      <c r="I492" s="248"/>
      <c r="J492" s="247" t="s">
        <v>223</v>
      </c>
      <c r="K492" s="248"/>
      <c r="L492" s="247" t="s">
        <v>225</v>
      </c>
      <c r="M492" s="248"/>
    </row>
    <row r="493" spans="2:13" x14ac:dyDescent="0.2">
      <c r="B493" s="249" t="s">
        <v>208</v>
      </c>
      <c r="C493" s="153" t="s">
        <v>232</v>
      </c>
      <c r="D493" s="153" t="s">
        <v>233</v>
      </c>
      <c r="E493" s="249" t="s">
        <v>215</v>
      </c>
      <c r="F493" s="153" t="str">
        <f>+C493</f>
        <v>2016 Actual</v>
      </c>
      <c r="G493" s="153" t="str">
        <f>+D493</f>
        <v>2017 Actual</v>
      </c>
      <c r="H493" s="153" t="str">
        <f>+F493</f>
        <v>2016 Actual</v>
      </c>
      <c r="I493" s="153" t="str">
        <f>+G493</f>
        <v>2017 Actual</v>
      </c>
      <c r="J493" s="153" t="str">
        <f t="shared" ref="J493" si="295">+H493</f>
        <v>2016 Actual</v>
      </c>
      <c r="K493" s="153" t="str">
        <f t="shared" ref="K493" si="296">+I493</f>
        <v>2017 Actual</v>
      </c>
      <c r="L493" s="153" t="str">
        <f t="shared" ref="L493" si="297">+J493</f>
        <v>2016 Actual</v>
      </c>
      <c r="M493" s="153" t="str">
        <f t="shared" ref="M493" si="298">+K493</f>
        <v>2017 Actual</v>
      </c>
    </row>
    <row r="494" spans="2:13" x14ac:dyDescent="0.2">
      <c r="B494" s="138" t="s">
        <v>100</v>
      </c>
      <c r="C494" s="57">
        <f>+D476</f>
        <v>10634.083333333334</v>
      </c>
      <c r="D494" s="57" cm="1">
        <f t="array" ref="D494:D499">TRANSPOSE(C55:H55)</f>
        <v>10912.666666666666</v>
      </c>
      <c r="E494" s="100" t="s">
        <v>61</v>
      </c>
      <c r="F494" s="100">
        <f>+G476</f>
        <v>86214190.382619157</v>
      </c>
      <c r="G494" s="100">
        <f>+G422</f>
        <v>83878663.289841563</v>
      </c>
      <c r="H494" s="100">
        <f>+I476</f>
        <v>85344733.294115975</v>
      </c>
      <c r="I494" s="100">
        <f>+G494*K$491</f>
        <v>84642535.68665491</v>
      </c>
      <c r="J494" s="100">
        <f>+F494/C494</f>
        <v>8107.3457561099121</v>
      </c>
      <c r="K494" s="100">
        <f t="shared" ref="K494:K499" si="299">+G494/D494</f>
        <v>7686.3580508743571</v>
      </c>
      <c r="L494" s="100">
        <f>+H494/C494</f>
        <v>8025.584398666173</v>
      </c>
      <c r="M494" s="100">
        <f>+I494/D494</f>
        <v>7756.3567432330856</v>
      </c>
    </row>
    <row r="495" spans="2:13" x14ac:dyDescent="0.2">
      <c r="B495" s="138" t="s">
        <v>216</v>
      </c>
      <c r="C495" s="57">
        <f t="shared" ref="C495:C499" si="300">+D477</f>
        <v>1133.0833333333333</v>
      </c>
      <c r="D495" s="57">
        <v>1143.1666666666667</v>
      </c>
      <c r="E495" s="100" t="s">
        <v>61</v>
      </c>
      <c r="F495" s="100">
        <f t="shared" ref="F495:F499" si="301">+G477</f>
        <v>34455638.026827835</v>
      </c>
      <c r="G495" s="100">
        <f t="shared" ref="G495:G499" si="302">+G423</f>
        <v>34387085.601475</v>
      </c>
      <c r="H495" s="100">
        <f t="shared" ref="H495:H499" si="303">+I477</f>
        <v>34108158.12139263</v>
      </c>
      <c r="I495" s="100">
        <f>+G495*K$491</f>
        <v>34700244.44864282</v>
      </c>
      <c r="J495" s="100">
        <f t="shared" ref="J495:J499" si="304">+F495/C495</f>
        <v>30408.741363678313</v>
      </c>
      <c r="K495" s="100">
        <f t="shared" si="299"/>
        <v>30080.55308483015</v>
      </c>
      <c r="L495" s="100">
        <f t="shared" ref="L495:L499" si="305">+H495/C495</f>
        <v>30102.073799861115</v>
      </c>
      <c r="M495" s="100">
        <f t="shared" ref="M495:M499" si="306">+I495/D495</f>
        <v>30354.492884073028</v>
      </c>
    </row>
    <row r="496" spans="2:13" x14ac:dyDescent="0.2">
      <c r="B496" s="138" t="s">
        <v>120</v>
      </c>
      <c r="C496" s="57">
        <f t="shared" si="300"/>
        <v>139.91666666666666</v>
      </c>
      <c r="D496" s="57">
        <v>134.33333333333334</v>
      </c>
      <c r="E496" s="155" t="s">
        <v>62</v>
      </c>
      <c r="F496" s="100">
        <f t="shared" si="301"/>
        <v>306871.28999999998</v>
      </c>
      <c r="G496" s="100">
        <f t="shared" si="302"/>
        <v>295314.63</v>
      </c>
      <c r="H496" s="100">
        <f t="shared" si="303"/>
        <v>306871.28999999998</v>
      </c>
      <c r="I496" s="100">
        <f t="shared" ref="I496:I497" si="307">+G496</f>
        <v>295314.63</v>
      </c>
      <c r="J496" s="100">
        <f t="shared" si="304"/>
        <v>2193.2432876712328</v>
      </c>
      <c r="K496" s="100">
        <f t="shared" si="299"/>
        <v>2198.3719354838709</v>
      </c>
      <c r="L496" s="100">
        <f t="shared" si="305"/>
        <v>2193.2432876712328</v>
      </c>
      <c r="M496" s="100">
        <f t="shared" si="306"/>
        <v>2198.3719354838709</v>
      </c>
    </row>
    <row r="497" spans="2:13" x14ac:dyDescent="0.2">
      <c r="B497" s="138" t="s">
        <v>114</v>
      </c>
      <c r="C497" s="57">
        <f t="shared" si="300"/>
        <v>2852.25</v>
      </c>
      <c r="D497" s="57">
        <v>2876.75</v>
      </c>
      <c r="E497" s="155" t="s">
        <v>62</v>
      </c>
      <c r="F497" s="100">
        <f t="shared" si="301"/>
        <v>2461.8700000000003</v>
      </c>
      <c r="G497" s="100">
        <f t="shared" si="302"/>
        <v>2404.58</v>
      </c>
      <c r="H497" s="100">
        <f t="shared" si="303"/>
        <v>2461.8700000000003</v>
      </c>
      <c r="I497" s="100">
        <f t="shared" si="307"/>
        <v>2404.58</v>
      </c>
      <c r="J497" s="100">
        <f t="shared" si="304"/>
        <v>0.8631326146025069</v>
      </c>
      <c r="K497" s="100">
        <f t="shared" si="299"/>
        <v>0.83586686364821405</v>
      </c>
      <c r="L497" s="100">
        <f t="shared" si="305"/>
        <v>0.8631326146025069</v>
      </c>
      <c r="M497" s="100">
        <f t="shared" si="306"/>
        <v>0.83586686364821405</v>
      </c>
    </row>
    <row r="498" spans="2:13" x14ac:dyDescent="0.2">
      <c r="B498" s="138" t="s">
        <v>68</v>
      </c>
      <c r="C498" s="57">
        <f t="shared" si="300"/>
        <v>152.41666666666666</v>
      </c>
      <c r="D498" s="57">
        <v>150.83333333333334</v>
      </c>
      <c r="E498" s="155" t="s">
        <v>62</v>
      </c>
      <c r="F498" s="100">
        <f t="shared" si="301"/>
        <v>289.30000000000007</v>
      </c>
      <c r="G498" s="100">
        <f t="shared" si="302"/>
        <v>310.00000000000006</v>
      </c>
      <c r="H498" s="100">
        <f t="shared" si="303"/>
        <v>289.30000000000007</v>
      </c>
      <c r="I498" s="100">
        <f>+G498</f>
        <v>310.00000000000006</v>
      </c>
      <c r="J498" s="100">
        <f t="shared" si="304"/>
        <v>1.8980863860032811</v>
      </c>
      <c r="K498" s="100">
        <f t="shared" si="299"/>
        <v>2.0552486187845305</v>
      </c>
      <c r="L498" s="100">
        <f t="shared" si="305"/>
        <v>1.8980863860032811</v>
      </c>
      <c r="M498" s="100">
        <f t="shared" si="306"/>
        <v>2.0552486187845305</v>
      </c>
    </row>
    <row r="499" spans="2:13" x14ac:dyDescent="0.2">
      <c r="B499" s="138" t="s">
        <v>169</v>
      </c>
      <c r="C499" s="57">
        <f t="shared" si="300"/>
        <v>97</v>
      </c>
      <c r="D499" s="57">
        <v>97</v>
      </c>
      <c r="E499" s="155" t="s">
        <v>61</v>
      </c>
      <c r="F499" s="100">
        <f t="shared" si="301"/>
        <v>401383.11638747668</v>
      </c>
      <c r="G499" s="100">
        <f t="shared" si="302"/>
        <v>380609.58741668583</v>
      </c>
      <c r="H499" s="100">
        <f t="shared" si="303"/>
        <v>397335.2282822844</v>
      </c>
      <c r="I499" s="100">
        <f>+G499*K$491</f>
        <v>384075.75087693898</v>
      </c>
      <c r="J499" s="100">
        <f t="shared" si="304"/>
        <v>4137.9702720358418</v>
      </c>
      <c r="K499" s="100">
        <f t="shared" si="299"/>
        <v>3923.8101795534621</v>
      </c>
      <c r="L499" s="100">
        <f t="shared" si="305"/>
        <v>4096.2394668276738</v>
      </c>
      <c r="M499" s="100">
        <f t="shared" si="306"/>
        <v>3959.543823473598</v>
      </c>
    </row>
    <row r="500" spans="2:13" x14ac:dyDescent="0.2">
      <c r="B500" s="153" t="s">
        <v>209</v>
      </c>
      <c r="C500" s="153" t="s">
        <v>228</v>
      </c>
      <c r="D500" s="153" t="s">
        <v>229</v>
      </c>
      <c r="E500" s="153"/>
      <c r="F500" s="153" t="s">
        <v>222</v>
      </c>
      <c r="G500" s="153" t="s">
        <v>229</v>
      </c>
      <c r="H500" s="153" t="str">
        <f>+F500</f>
        <v>Volume</v>
      </c>
      <c r="I500" s="153" t="str">
        <f>+G500</f>
        <v>%</v>
      </c>
      <c r="J500" s="153" t="str">
        <f t="shared" ref="J500" si="308">+H500</f>
        <v>Volume</v>
      </c>
      <c r="K500" s="153" t="str">
        <f t="shared" ref="K500" si="309">+I500</f>
        <v>%</v>
      </c>
      <c r="L500" s="153" t="str">
        <f t="shared" ref="L500" si="310">+J500</f>
        <v>Volume</v>
      </c>
      <c r="M500" s="153" t="str">
        <f t="shared" ref="M500" si="311">+K500</f>
        <v>%</v>
      </c>
    </row>
    <row r="501" spans="2:13" x14ac:dyDescent="0.2">
      <c r="B501" s="139" t="str">
        <f>+B494</f>
        <v>Residential</v>
      </c>
      <c r="C501" s="100">
        <f>+D494-C494</f>
        <v>278.58333333333212</v>
      </c>
      <c r="D501" s="101">
        <f>(D494-C494)/C494</f>
        <v>2.6197211795406166E-2</v>
      </c>
      <c r="E501" s="100" t="str">
        <f>+E494</f>
        <v>kWh</v>
      </c>
      <c r="F501" s="100">
        <f t="shared" ref="F501:F506" si="312">+G494-F494</f>
        <v>-2335527.0927775949</v>
      </c>
      <c r="G501" s="101">
        <f t="shared" ref="G501:G506" si="313">(G494-F494)/F494</f>
        <v>-2.7089822248663589E-2</v>
      </c>
      <c r="H501" s="100">
        <f t="shared" ref="H501:H506" si="314">+I494-H494</f>
        <v>-702197.60746106505</v>
      </c>
      <c r="I501" s="101">
        <f t="shared" ref="I501:I506" si="315">(I494-H494)/H494</f>
        <v>-8.2277790363600271E-3</v>
      </c>
      <c r="J501" s="100">
        <f t="shared" ref="J501:J506" si="316">+K494-J494</f>
        <v>-420.98770523555504</v>
      </c>
      <c r="K501" s="101">
        <f t="shared" ref="K501:K506" si="317">(K494-J494)/J494</f>
        <v>-5.1926699304551981E-2</v>
      </c>
      <c r="L501" s="100">
        <f t="shared" ref="L501:L506" si="318">+M494-L494</f>
        <v>-269.22765543308742</v>
      </c>
      <c r="M501" s="101">
        <f t="shared" ref="M501:M506" si="319">(M494-L494)/L494</f>
        <v>-3.3546174591078032E-2</v>
      </c>
    </row>
    <row r="502" spans="2:13" x14ac:dyDescent="0.2">
      <c r="B502" s="139" t="str">
        <f t="shared" ref="B502:B506" si="320">+B495</f>
        <v>GS&lt;50 kW</v>
      </c>
      <c r="C502" s="100">
        <f t="shared" ref="C502:C506" si="321">+D495-C495</f>
        <v>10.083333333333485</v>
      </c>
      <c r="D502" s="101">
        <f t="shared" ref="D502:D506" si="322">(D495-C495)/C495</f>
        <v>8.8990218430537484E-3</v>
      </c>
      <c r="E502" s="100" t="str">
        <f t="shared" ref="E502:E506" si="323">+E495</f>
        <v>kWh</v>
      </c>
      <c r="F502" s="100">
        <f t="shared" si="312"/>
        <v>-68552.425352834165</v>
      </c>
      <c r="G502" s="101">
        <f t="shared" si="313"/>
        <v>-1.9895851384164735E-3</v>
      </c>
      <c r="H502" s="100">
        <f t="shared" si="314"/>
        <v>592086.32725019008</v>
      </c>
      <c r="I502" s="101">
        <f t="shared" si="315"/>
        <v>1.7359082397323405E-2</v>
      </c>
      <c r="J502" s="100">
        <f t="shared" si="316"/>
        <v>-328.18827884816346</v>
      </c>
      <c r="K502" s="101">
        <f t="shared" si="317"/>
        <v>-1.0792563721172873E-2</v>
      </c>
      <c r="L502" s="100">
        <f t="shared" si="318"/>
        <v>252.41908421191329</v>
      </c>
      <c r="M502" s="101">
        <f t="shared" si="319"/>
        <v>8.3854383551832858E-3</v>
      </c>
    </row>
    <row r="503" spans="2:13" x14ac:dyDescent="0.2">
      <c r="B503" s="139" t="str">
        <f t="shared" si="320"/>
        <v>GS&gt;50 kW</v>
      </c>
      <c r="C503" s="100">
        <f t="shared" si="321"/>
        <v>-5.5833333333333144</v>
      </c>
      <c r="D503" s="101">
        <f t="shared" si="322"/>
        <v>-3.9904705181655613E-2</v>
      </c>
      <c r="E503" s="155" t="str">
        <f t="shared" si="323"/>
        <v>kW</v>
      </c>
      <c r="F503" s="100">
        <f t="shared" si="312"/>
        <v>-11556.659999999974</v>
      </c>
      <c r="G503" s="101">
        <f t="shared" si="313"/>
        <v>-3.7659632479792995E-2</v>
      </c>
      <c r="H503" s="100">
        <f t="shared" si="314"/>
        <v>-11556.659999999974</v>
      </c>
      <c r="I503" s="101">
        <f t="shared" si="315"/>
        <v>-3.7659632479792995E-2</v>
      </c>
      <c r="J503" s="100">
        <f t="shared" si="316"/>
        <v>5.1286478126380644</v>
      </c>
      <c r="K503" s="101">
        <f t="shared" si="317"/>
        <v>2.3383852769400786E-3</v>
      </c>
      <c r="L503" s="100">
        <f t="shared" si="318"/>
        <v>5.1286478126380644</v>
      </c>
      <c r="M503" s="101">
        <f t="shared" si="319"/>
        <v>2.3383852769400786E-3</v>
      </c>
    </row>
    <row r="504" spans="2:13" x14ac:dyDescent="0.2">
      <c r="B504" s="139" t="str">
        <f t="shared" si="320"/>
        <v>Street Lighting</v>
      </c>
      <c r="C504" s="100">
        <f t="shared" si="321"/>
        <v>24.5</v>
      </c>
      <c r="D504" s="101">
        <f t="shared" si="322"/>
        <v>8.58970987816636E-3</v>
      </c>
      <c r="E504" s="155" t="str">
        <f t="shared" si="323"/>
        <v>kW</v>
      </c>
      <c r="F504" s="100">
        <f t="shared" si="312"/>
        <v>-57.290000000000418</v>
      </c>
      <c r="G504" s="101">
        <f t="shared" si="313"/>
        <v>-2.3270928196858651E-2</v>
      </c>
      <c r="H504" s="100">
        <f t="shared" si="314"/>
        <v>-57.290000000000418</v>
      </c>
      <c r="I504" s="101">
        <f t="shared" si="315"/>
        <v>-2.3270928196858651E-2</v>
      </c>
      <c r="J504" s="100">
        <f t="shared" si="316"/>
        <v>-2.7265750954292844E-2</v>
      </c>
      <c r="K504" s="101">
        <f t="shared" si="317"/>
        <v>-3.1589295194052389E-2</v>
      </c>
      <c r="L504" s="100">
        <f t="shared" si="318"/>
        <v>-2.7265750954292844E-2</v>
      </c>
      <c r="M504" s="101">
        <f t="shared" si="319"/>
        <v>-3.1589295194052389E-2</v>
      </c>
    </row>
    <row r="505" spans="2:13" x14ac:dyDescent="0.2">
      <c r="B505" s="139" t="str">
        <f t="shared" si="320"/>
        <v>Sentinel Lights</v>
      </c>
      <c r="C505" s="100">
        <f t="shared" si="321"/>
        <v>-1.5833333333333144</v>
      </c>
      <c r="D505" s="101">
        <f t="shared" si="322"/>
        <v>-1.0388190267905837E-2</v>
      </c>
      <c r="E505" s="155" t="str">
        <f t="shared" si="323"/>
        <v>kW</v>
      </c>
      <c r="F505" s="100">
        <f t="shared" si="312"/>
        <v>20.699999999999989</v>
      </c>
      <c r="G505" s="101">
        <f t="shared" si="313"/>
        <v>7.1552022122364278E-2</v>
      </c>
      <c r="H505" s="100">
        <f t="shared" si="314"/>
        <v>20.699999999999989</v>
      </c>
      <c r="I505" s="101">
        <f t="shared" si="315"/>
        <v>7.1552022122364278E-2</v>
      </c>
      <c r="J505" s="100">
        <f t="shared" si="316"/>
        <v>0.15716223278124941</v>
      </c>
      <c r="K505" s="101">
        <f t="shared" si="317"/>
        <v>8.2800358266189963E-2</v>
      </c>
      <c r="L505" s="100">
        <f t="shared" si="318"/>
        <v>0.15716223278124941</v>
      </c>
      <c r="M505" s="101">
        <f t="shared" si="319"/>
        <v>8.2800358266189963E-2</v>
      </c>
    </row>
    <row r="506" spans="2:13" x14ac:dyDescent="0.2">
      <c r="B506" s="139" t="str">
        <f t="shared" si="320"/>
        <v>USL</v>
      </c>
      <c r="C506" s="100">
        <f t="shared" si="321"/>
        <v>0</v>
      </c>
      <c r="D506" s="101">
        <f t="shared" si="322"/>
        <v>0</v>
      </c>
      <c r="E506" s="155" t="str">
        <f t="shared" si="323"/>
        <v>kWh</v>
      </c>
      <c r="F506" s="100">
        <f t="shared" si="312"/>
        <v>-20773.528970790852</v>
      </c>
      <c r="G506" s="101">
        <f t="shared" si="313"/>
        <v>-5.1754864922462382E-2</v>
      </c>
      <c r="H506" s="100">
        <f t="shared" si="314"/>
        <v>-13259.477405345417</v>
      </c>
      <c r="I506" s="101">
        <f t="shared" si="315"/>
        <v>-3.337100881456527E-2</v>
      </c>
      <c r="J506" s="100">
        <f t="shared" si="316"/>
        <v>-214.1600924823797</v>
      </c>
      <c r="K506" s="101">
        <f t="shared" si="317"/>
        <v>-5.1754864922462333E-2</v>
      </c>
      <c r="L506" s="100">
        <f t="shared" si="318"/>
        <v>-136.69564335407586</v>
      </c>
      <c r="M506" s="101">
        <f t="shared" si="319"/>
        <v>-3.3371008814565124E-2</v>
      </c>
    </row>
    <row r="508" spans="2:13" x14ac:dyDescent="0.2">
      <c r="B508" s="47" t="str">
        <f>C511&amp;" vs "&amp;D511</f>
        <v>2017 Actual vs 2018 Actual</v>
      </c>
    </row>
    <row r="509" spans="2:13" x14ac:dyDescent="0.2">
      <c r="J509" s="156" t="s">
        <v>224</v>
      </c>
      <c r="K509" s="157">
        <f>+Q426</f>
        <v>0.98793055780849981</v>
      </c>
    </row>
    <row r="510" spans="2:13" x14ac:dyDescent="0.2">
      <c r="B510" s="249" t="s">
        <v>208</v>
      </c>
      <c r="C510" s="247" t="s">
        <v>220</v>
      </c>
      <c r="D510" s="248"/>
      <c r="E510" s="249" t="s">
        <v>221</v>
      </c>
      <c r="F510" s="247" t="s">
        <v>222</v>
      </c>
      <c r="G510" s="248"/>
      <c r="H510" s="247" t="s">
        <v>226</v>
      </c>
      <c r="I510" s="248"/>
      <c r="J510" s="247" t="s">
        <v>223</v>
      </c>
      <c r="K510" s="248"/>
      <c r="L510" s="247" t="s">
        <v>225</v>
      </c>
      <c r="M510" s="248"/>
    </row>
    <row r="511" spans="2:13" x14ac:dyDescent="0.2">
      <c r="B511" s="249" t="s">
        <v>208</v>
      </c>
      <c r="C511" s="153" t="s">
        <v>233</v>
      </c>
      <c r="D511" s="153" t="s">
        <v>234</v>
      </c>
      <c r="E511" s="249" t="s">
        <v>215</v>
      </c>
      <c r="F511" s="153" t="str">
        <f>+C511</f>
        <v>2017 Actual</v>
      </c>
      <c r="G511" s="153" t="str">
        <f>+D511</f>
        <v>2018 Actual</v>
      </c>
      <c r="H511" s="153" t="str">
        <f>+F511</f>
        <v>2017 Actual</v>
      </c>
      <c r="I511" s="153" t="str">
        <f>+G511</f>
        <v>2018 Actual</v>
      </c>
      <c r="J511" s="153" t="str">
        <f t="shared" ref="J511" si="324">+H511</f>
        <v>2017 Actual</v>
      </c>
      <c r="K511" s="153" t="str">
        <f t="shared" ref="K511" si="325">+I511</f>
        <v>2018 Actual</v>
      </c>
      <c r="L511" s="153" t="str">
        <f t="shared" ref="L511" si="326">+J511</f>
        <v>2017 Actual</v>
      </c>
      <c r="M511" s="153" t="str">
        <f t="shared" ref="M511" si="327">+K511</f>
        <v>2018 Actual</v>
      </c>
    </row>
    <row r="512" spans="2:13" x14ac:dyDescent="0.2">
      <c r="B512" s="138" t="s">
        <v>100</v>
      </c>
      <c r="C512" s="57">
        <f>+D494</f>
        <v>10912.666666666666</v>
      </c>
      <c r="D512" s="57" cm="1">
        <f t="array" ref="D512:D517">TRANSPOSE(C56:H56)</f>
        <v>11219.083333333334</v>
      </c>
      <c r="E512" s="100" t="s">
        <v>61</v>
      </c>
      <c r="F512" s="100">
        <f>+G494</f>
        <v>83878663.289841563</v>
      </c>
      <c r="G512" s="100">
        <f>+H422</f>
        <v>91709432.73716554</v>
      </c>
      <c r="H512" s="100">
        <f>+I494</f>
        <v>84642535.68665491</v>
      </c>
      <c r="I512" s="100">
        <f>+G512*K$509</f>
        <v>90602551.040329039</v>
      </c>
      <c r="J512" s="100">
        <f>+F512/C512</f>
        <v>7686.3580508743571</v>
      </c>
      <c r="K512" s="100">
        <f t="shared" ref="K512:K517" si="328">+G512/D512</f>
        <v>8174.414077546342</v>
      </c>
      <c r="L512" s="100">
        <f>+H512/C512</f>
        <v>7756.3567432330856</v>
      </c>
      <c r="M512" s="100">
        <f>+I512/D512</f>
        <v>8075.75345938801</v>
      </c>
    </row>
    <row r="513" spans="2:13" x14ac:dyDescent="0.2">
      <c r="B513" s="138" t="s">
        <v>216</v>
      </c>
      <c r="C513" s="57">
        <f t="shared" ref="C513:C517" si="329">+D495</f>
        <v>1143.1666666666667</v>
      </c>
      <c r="D513" s="57">
        <v>1154.5</v>
      </c>
      <c r="E513" s="100" t="s">
        <v>61</v>
      </c>
      <c r="F513" s="100">
        <f t="shared" ref="F513:F517" si="330">+G495</f>
        <v>34387085.601475</v>
      </c>
      <c r="G513" s="100">
        <f t="shared" ref="G513:G517" si="331">+H423</f>
        <v>35759952.621808477</v>
      </c>
      <c r="H513" s="100">
        <f t="shared" ref="H513:H517" si="332">+I495</f>
        <v>34700244.44864282</v>
      </c>
      <c r="I513" s="100">
        <f>+G513*K$509</f>
        <v>35328349.940868773</v>
      </c>
      <c r="J513" s="100">
        <f t="shared" ref="J513:J517" si="333">+F513/C513</f>
        <v>30080.55308483015</v>
      </c>
      <c r="K513" s="100">
        <f t="shared" si="328"/>
        <v>30974.406775061478</v>
      </c>
      <c r="L513" s="100">
        <f t="shared" ref="L513:L517" si="334">+H513/C513</f>
        <v>30354.492884073028</v>
      </c>
      <c r="M513" s="100">
        <f t="shared" ref="M513:M517" si="335">+I513/D513</f>
        <v>30600.562963073862</v>
      </c>
    </row>
    <row r="514" spans="2:13" x14ac:dyDescent="0.2">
      <c r="B514" s="138" t="s">
        <v>120</v>
      </c>
      <c r="C514" s="57">
        <f t="shared" si="329"/>
        <v>134.33333333333334</v>
      </c>
      <c r="D514" s="57">
        <v>135.91666666666666</v>
      </c>
      <c r="E514" s="155" t="s">
        <v>62</v>
      </c>
      <c r="F514" s="100">
        <f t="shared" si="330"/>
        <v>295314.63</v>
      </c>
      <c r="G514" s="100">
        <f t="shared" si="331"/>
        <v>297736.30999999994</v>
      </c>
      <c r="H514" s="100">
        <f t="shared" si="332"/>
        <v>295314.63</v>
      </c>
      <c r="I514" s="100">
        <f t="shared" ref="I514:I515" si="336">+G514</f>
        <v>297736.30999999994</v>
      </c>
      <c r="J514" s="100">
        <f t="shared" si="333"/>
        <v>2198.3719354838709</v>
      </c>
      <c r="K514" s="100">
        <f t="shared" si="328"/>
        <v>2190.5798405885957</v>
      </c>
      <c r="L514" s="100">
        <f t="shared" si="334"/>
        <v>2198.3719354838709</v>
      </c>
      <c r="M514" s="100">
        <f t="shared" si="335"/>
        <v>2190.5798405885957</v>
      </c>
    </row>
    <row r="515" spans="2:13" x14ac:dyDescent="0.2">
      <c r="B515" s="138" t="s">
        <v>114</v>
      </c>
      <c r="C515" s="57">
        <f t="shared" si="329"/>
        <v>2876.75</v>
      </c>
      <c r="D515" s="57">
        <v>2900</v>
      </c>
      <c r="E515" s="155" t="s">
        <v>62</v>
      </c>
      <c r="F515" s="100">
        <f t="shared" si="330"/>
        <v>2404.58</v>
      </c>
      <c r="G515" s="100">
        <f t="shared" si="331"/>
        <v>2423.3099999999995</v>
      </c>
      <c r="H515" s="100">
        <f t="shared" si="332"/>
        <v>2404.58</v>
      </c>
      <c r="I515" s="100">
        <f t="shared" si="336"/>
        <v>2423.3099999999995</v>
      </c>
      <c r="J515" s="100">
        <f t="shared" si="333"/>
        <v>0.83586686364821405</v>
      </c>
      <c r="K515" s="100">
        <f t="shared" si="328"/>
        <v>0.83562413793103429</v>
      </c>
      <c r="L515" s="100">
        <f t="shared" si="334"/>
        <v>0.83586686364821405</v>
      </c>
      <c r="M515" s="100">
        <f t="shared" si="335"/>
        <v>0.83562413793103429</v>
      </c>
    </row>
    <row r="516" spans="2:13" x14ac:dyDescent="0.2">
      <c r="B516" s="138" t="s">
        <v>68</v>
      </c>
      <c r="C516" s="57">
        <f t="shared" si="329"/>
        <v>150.83333333333334</v>
      </c>
      <c r="D516" s="57">
        <v>153.66666666666666</v>
      </c>
      <c r="E516" s="155" t="s">
        <v>62</v>
      </c>
      <c r="F516" s="100">
        <f t="shared" si="330"/>
        <v>310.00000000000006</v>
      </c>
      <c r="G516" s="100">
        <f t="shared" si="331"/>
        <v>280.60000000000002</v>
      </c>
      <c r="H516" s="100">
        <f t="shared" si="332"/>
        <v>310.00000000000006</v>
      </c>
      <c r="I516" s="100">
        <f>+G516</f>
        <v>280.60000000000002</v>
      </c>
      <c r="J516" s="100">
        <f t="shared" si="333"/>
        <v>2.0552486187845305</v>
      </c>
      <c r="K516" s="100">
        <f t="shared" si="328"/>
        <v>1.8260303687635577</v>
      </c>
      <c r="L516" s="100">
        <f t="shared" si="334"/>
        <v>2.0552486187845305</v>
      </c>
      <c r="M516" s="100">
        <f t="shared" si="335"/>
        <v>1.8260303687635577</v>
      </c>
    </row>
    <row r="517" spans="2:13" x14ac:dyDescent="0.2">
      <c r="B517" s="138" t="s">
        <v>169</v>
      </c>
      <c r="C517" s="57">
        <f t="shared" si="329"/>
        <v>97</v>
      </c>
      <c r="D517" s="57">
        <v>97</v>
      </c>
      <c r="E517" s="155" t="s">
        <v>61</v>
      </c>
      <c r="F517" s="100">
        <f t="shared" si="330"/>
        <v>380609.58741668583</v>
      </c>
      <c r="G517" s="100">
        <f t="shared" si="331"/>
        <v>375339.18519225245</v>
      </c>
      <c r="H517" s="100">
        <f t="shared" si="332"/>
        <v>384075.75087693898</v>
      </c>
      <c r="I517" s="100">
        <f>+G517*K$509</f>
        <v>370809.05059436976</v>
      </c>
      <c r="J517" s="100">
        <f t="shared" si="333"/>
        <v>3923.8101795534621</v>
      </c>
      <c r="K517" s="100">
        <f t="shared" si="328"/>
        <v>3869.4761360026027</v>
      </c>
      <c r="L517" s="100">
        <f t="shared" si="334"/>
        <v>3959.543823473598</v>
      </c>
      <c r="M517" s="100">
        <f t="shared" si="335"/>
        <v>3822.7737174677295</v>
      </c>
    </row>
    <row r="518" spans="2:13" x14ac:dyDescent="0.2">
      <c r="B518" s="153" t="s">
        <v>209</v>
      </c>
      <c r="C518" s="153" t="s">
        <v>228</v>
      </c>
      <c r="D518" s="153" t="s">
        <v>229</v>
      </c>
      <c r="E518" s="153"/>
      <c r="F518" s="153" t="s">
        <v>222</v>
      </c>
      <c r="G518" s="153" t="s">
        <v>229</v>
      </c>
      <c r="H518" s="153" t="str">
        <f>+F518</f>
        <v>Volume</v>
      </c>
      <c r="I518" s="153" t="str">
        <f>+G518</f>
        <v>%</v>
      </c>
      <c r="J518" s="153" t="str">
        <f t="shared" ref="J518" si="337">+H518</f>
        <v>Volume</v>
      </c>
      <c r="K518" s="153" t="str">
        <f t="shared" ref="K518" si="338">+I518</f>
        <v>%</v>
      </c>
      <c r="L518" s="153" t="str">
        <f t="shared" ref="L518" si="339">+J518</f>
        <v>Volume</v>
      </c>
      <c r="M518" s="153" t="str">
        <f t="shared" ref="M518" si="340">+K518</f>
        <v>%</v>
      </c>
    </row>
    <row r="519" spans="2:13" x14ac:dyDescent="0.2">
      <c r="B519" s="139" t="str">
        <f>+B512</f>
        <v>Residential</v>
      </c>
      <c r="C519" s="100">
        <f>+D512-C512</f>
        <v>306.41666666666788</v>
      </c>
      <c r="D519" s="101">
        <f>(D512-C512)/C512</f>
        <v>2.8078990775246004E-2</v>
      </c>
      <c r="E519" s="100" t="str">
        <f>+E512</f>
        <v>kWh</v>
      </c>
      <c r="F519" s="100">
        <f t="shared" ref="F519:F524" si="341">+G512-F512</f>
        <v>7830769.4473239779</v>
      </c>
      <c r="G519" s="101">
        <f t="shared" ref="G519:G524" si="342">(G512-F512)/F512</f>
        <v>9.3358300432910601E-2</v>
      </c>
      <c r="H519" s="100">
        <f t="shared" ref="H519:H524" si="343">+I512-H512</f>
        <v>5960015.3536741287</v>
      </c>
      <c r="I519" s="101">
        <f t="shared" ref="I519:I524" si="344">(I512-H512)/H512</f>
        <v>7.0413950921059287E-2</v>
      </c>
      <c r="J519" s="100">
        <f t="shared" ref="J519:J524" si="345">+K512-J512</f>
        <v>488.05602667198491</v>
      </c>
      <c r="K519" s="101">
        <f t="shared" ref="K519:K524" si="346">(K512-J512)/J512</f>
        <v>6.3496394969066838E-2</v>
      </c>
      <c r="L519" s="100">
        <f t="shared" ref="L519:L524" si="347">+M512-L512</f>
        <v>319.39671615492443</v>
      </c>
      <c r="M519" s="101">
        <f t="shared" ref="M519:M524" si="348">(M512-L512)/L512</f>
        <v>4.1178703704361871E-2</v>
      </c>
    </row>
    <row r="520" spans="2:13" x14ac:dyDescent="0.2">
      <c r="B520" s="139" t="str">
        <f t="shared" ref="B520:B524" si="349">+B513</f>
        <v>GS&lt;50 kW</v>
      </c>
      <c r="C520" s="100">
        <f t="shared" ref="C520:C524" si="350">+D513-C513</f>
        <v>11.333333333333258</v>
      </c>
      <c r="D520" s="101">
        <f t="shared" ref="D520:D524" si="351">(D513-C513)/C513</f>
        <v>9.9139816299751472E-3</v>
      </c>
      <c r="E520" s="100" t="str">
        <f t="shared" ref="E520:E524" si="352">+E513</f>
        <v>kWh</v>
      </c>
      <c r="F520" s="100">
        <f t="shared" si="341"/>
        <v>1372867.0203334764</v>
      </c>
      <c r="G520" s="101">
        <f t="shared" si="342"/>
        <v>3.9923913187763393E-2</v>
      </c>
      <c r="H520" s="100">
        <f t="shared" si="343"/>
        <v>628105.49222595245</v>
      </c>
      <c r="I520" s="101">
        <f t="shared" si="344"/>
        <v>1.81008953166184E-2</v>
      </c>
      <c r="J520" s="100">
        <f t="shared" si="345"/>
        <v>893.85369023132807</v>
      </c>
      <c r="K520" s="101">
        <f t="shared" si="346"/>
        <v>2.9715334279611542E-2</v>
      </c>
      <c r="L520" s="100">
        <f t="shared" si="347"/>
        <v>246.07007900083408</v>
      </c>
      <c r="M520" s="101">
        <f t="shared" si="348"/>
        <v>8.1065455430469995E-3</v>
      </c>
    </row>
    <row r="521" spans="2:13" x14ac:dyDescent="0.2">
      <c r="B521" s="139" t="str">
        <f t="shared" si="349"/>
        <v>GS&gt;50 kW</v>
      </c>
      <c r="C521" s="100">
        <f t="shared" si="350"/>
        <v>1.5833333333333144</v>
      </c>
      <c r="D521" s="101">
        <f t="shared" si="351"/>
        <v>1.1786600496277774E-2</v>
      </c>
      <c r="E521" s="155" t="str">
        <f t="shared" si="352"/>
        <v>kW</v>
      </c>
      <c r="F521" s="100">
        <f t="shared" si="341"/>
        <v>2421.6799999999348</v>
      </c>
      <c r="G521" s="101">
        <f t="shared" si="342"/>
        <v>8.20033873702747E-3</v>
      </c>
      <c r="H521" s="100">
        <f t="shared" si="343"/>
        <v>2421.6799999999348</v>
      </c>
      <c r="I521" s="101">
        <f t="shared" si="344"/>
        <v>8.20033873702747E-3</v>
      </c>
      <c r="J521" s="100">
        <f t="shared" si="345"/>
        <v>-7.7920948952751132</v>
      </c>
      <c r="K521" s="101">
        <f t="shared" si="346"/>
        <v>-3.5444843383883721E-3</v>
      </c>
      <c r="L521" s="100">
        <f t="shared" si="347"/>
        <v>-7.7920948952751132</v>
      </c>
      <c r="M521" s="101">
        <f t="shared" si="348"/>
        <v>-3.5444843383883721E-3</v>
      </c>
    </row>
    <row r="522" spans="2:13" x14ac:dyDescent="0.2">
      <c r="B522" s="139" t="str">
        <f t="shared" si="349"/>
        <v>Street Lighting</v>
      </c>
      <c r="C522" s="100">
        <f t="shared" si="350"/>
        <v>23.25</v>
      </c>
      <c r="D522" s="101">
        <f t="shared" si="351"/>
        <v>8.082037020943773E-3</v>
      </c>
      <c r="E522" s="155" t="str">
        <f t="shared" si="352"/>
        <v>kW</v>
      </c>
      <c r="F522" s="100">
        <f t="shared" si="341"/>
        <v>18.729999999999563</v>
      </c>
      <c r="G522" s="101">
        <f t="shared" si="342"/>
        <v>7.7893020818602682E-3</v>
      </c>
      <c r="H522" s="100">
        <f t="shared" si="343"/>
        <v>18.729999999999563</v>
      </c>
      <c r="I522" s="101">
        <f t="shared" si="344"/>
        <v>7.7893020818602682E-3</v>
      </c>
      <c r="J522" s="100">
        <f t="shared" si="345"/>
        <v>-2.4272571717975922E-4</v>
      </c>
      <c r="K522" s="101">
        <f t="shared" si="346"/>
        <v>-2.9038801241666837E-4</v>
      </c>
      <c r="L522" s="100">
        <f t="shared" si="347"/>
        <v>-2.4272571717975922E-4</v>
      </c>
      <c r="M522" s="101">
        <f t="shared" si="348"/>
        <v>-2.9038801241666837E-4</v>
      </c>
    </row>
    <row r="523" spans="2:13" x14ac:dyDescent="0.2">
      <c r="B523" s="139" t="str">
        <f t="shared" si="349"/>
        <v>Sentinel Lights</v>
      </c>
      <c r="C523" s="100">
        <f t="shared" si="350"/>
        <v>2.8333333333333144</v>
      </c>
      <c r="D523" s="101">
        <f t="shared" si="351"/>
        <v>1.8784530386740203E-2</v>
      </c>
      <c r="E523" s="155" t="str">
        <f t="shared" si="352"/>
        <v>kW</v>
      </c>
      <c r="F523" s="100">
        <f t="shared" si="341"/>
        <v>-29.400000000000034</v>
      </c>
      <c r="G523" s="101">
        <f t="shared" si="342"/>
        <v>-9.4838709677419447E-2</v>
      </c>
      <c r="H523" s="100">
        <f t="shared" si="343"/>
        <v>-29.400000000000034</v>
      </c>
      <c r="I523" s="101">
        <f t="shared" si="344"/>
        <v>-9.4838709677419447E-2</v>
      </c>
      <c r="J523" s="100">
        <f t="shared" si="345"/>
        <v>-0.22921825002097274</v>
      </c>
      <c r="K523" s="101">
        <f t="shared" si="346"/>
        <v>-0.11152823455321523</v>
      </c>
      <c r="L523" s="100">
        <f t="shared" si="347"/>
        <v>-0.22921825002097274</v>
      </c>
      <c r="M523" s="101">
        <f t="shared" si="348"/>
        <v>-0.11152823455321523</v>
      </c>
    </row>
    <row r="524" spans="2:13" x14ac:dyDescent="0.2">
      <c r="B524" s="139" t="str">
        <f t="shared" si="349"/>
        <v>USL</v>
      </c>
      <c r="C524" s="100">
        <f t="shared" si="350"/>
        <v>0</v>
      </c>
      <c r="D524" s="101">
        <f t="shared" si="351"/>
        <v>0</v>
      </c>
      <c r="E524" s="155" t="str">
        <f t="shared" si="352"/>
        <v>kWh</v>
      </c>
      <c r="F524" s="100">
        <f t="shared" si="341"/>
        <v>-5270.4022244333755</v>
      </c>
      <c r="G524" s="101">
        <f t="shared" si="342"/>
        <v>-1.3847266066536091E-2</v>
      </c>
      <c r="H524" s="100">
        <f t="shared" si="343"/>
        <v>-13266.700282569218</v>
      </c>
      <c r="I524" s="101">
        <f t="shared" si="344"/>
        <v>-3.4541884647177265E-2</v>
      </c>
      <c r="J524" s="100">
        <f t="shared" si="345"/>
        <v>-54.334043550859406</v>
      </c>
      <c r="K524" s="101">
        <f t="shared" si="346"/>
        <v>-1.3847266066536057E-2</v>
      </c>
      <c r="L524" s="100">
        <f t="shared" si="347"/>
        <v>-136.77010600586846</v>
      </c>
      <c r="M524" s="101">
        <f t="shared" si="348"/>
        <v>-3.4541884647177321E-2</v>
      </c>
    </row>
    <row r="526" spans="2:13" x14ac:dyDescent="0.2">
      <c r="B526" s="47" t="str">
        <f>C529&amp;" vs "&amp;D529</f>
        <v>2018 Actual vs 2019 Actual</v>
      </c>
    </row>
    <row r="527" spans="2:13" x14ac:dyDescent="0.2">
      <c r="J527" s="156" t="s">
        <v>224</v>
      </c>
      <c r="K527" s="157">
        <f>+I428</f>
        <v>1.0006005654671541</v>
      </c>
    </row>
    <row r="528" spans="2:13" x14ac:dyDescent="0.2">
      <c r="B528" s="249" t="s">
        <v>208</v>
      </c>
      <c r="C528" s="247" t="s">
        <v>220</v>
      </c>
      <c r="D528" s="248"/>
      <c r="E528" s="249" t="s">
        <v>221</v>
      </c>
      <c r="F528" s="247" t="s">
        <v>222</v>
      </c>
      <c r="G528" s="248"/>
      <c r="H528" s="247" t="s">
        <v>226</v>
      </c>
      <c r="I528" s="248"/>
      <c r="J528" s="247" t="s">
        <v>223</v>
      </c>
      <c r="K528" s="248"/>
      <c r="L528" s="247" t="s">
        <v>225</v>
      </c>
      <c r="M528" s="248"/>
    </row>
    <row r="529" spans="2:13" x14ac:dyDescent="0.2">
      <c r="B529" s="249" t="s">
        <v>208</v>
      </c>
      <c r="C529" s="153" t="s">
        <v>234</v>
      </c>
      <c r="D529" s="153" t="s">
        <v>235</v>
      </c>
      <c r="E529" s="249" t="s">
        <v>215</v>
      </c>
      <c r="F529" s="153" t="str">
        <f>+C529</f>
        <v>2018 Actual</v>
      </c>
      <c r="G529" s="153" t="str">
        <f>+D529</f>
        <v>2019 Actual</v>
      </c>
      <c r="H529" s="153" t="str">
        <f>+F529</f>
        <v>2018 Actual</v>
      </c>
      <c r="I529" s="153" t="str">
        <f>+G529</f>
        <v>2019 Actual</v>
      </c>
      <c r="J529" s="153" t="str">
        <f t="shared" ref="J529" si="353">+H529</f>
        <v>2018 Actual</v>
      </c>
      <c r="K529" s="153" t="str">
        <f t="shared" ref="K529" si="354">+I529</f>
        <v>2019 Actual</v>
      </c>
      <c r="L529" s="153" t="str">
        <f t="shared" ref="L529" si="355">+J529</f>
        <v>2018 Actual</v>
      </c>
      <c r="M529" s="153" t="str">
        <f t="shared" ref="M529" si="356">+K529</f>
        <v>2019 Actual</v>
      </c>
    </row>
    <row r="530" spans="2:13" x14ac:dyDescent="0.2">
      <c r="B530" s="138" t="s">
        <v>100</v>
      </c>
      <c r="C530" s="57">
        <f>+D512</f>
        <v>11219.083333333334</v>
      </c>
      <c r="D530" s="57" cm="1">
        <f t="array" ref="D530:D535">TRANSPOSE(C57:H57)</f>
        <v>11336</v>
      </c>
      <c r="E530" s="100" t="s">
        <v>61</v>
      </c>
      <c r="F530" s="100">
        <f>+G512</f>
        <v>91709432.73716554</v>
      </c>
      <c r="G530" s="100">
        <f>+I422</f>
        <v>89180443.270875081</v>
      </c>
      <c r="H530" s="100">
        <f>+I512</f>
        <v>90602551.040329039</v>
      </c>
      <c r="I530" s="100">
        <f>+G530*K$527</f>
        <v>89234001.965449065</v>
      </c>
      <c r="J530" s="100">
        <f>+F530/C530</f>
        <v>8174.414077546342</v>
      </c>
      <c r="K530" s="100">
        <f t="shared" ref="K530:K535" si="357">+G530/D530</f>
        <v>7867.0115799995665</v>
      </c>
      <c r="L530" s="100">
        <f>+H530/C530</f>
        <v>8075.75345938801</v>
      </c>
      <c r="M530" s="100">
        <f>+I530/D530</f>
        <v>7871.7362354842153</v>
      </c>
    </row>
    <row r="531" spans="2:13" x14ac:dyDescent="0.2">
      <c r="B531" s="138" t="s">
        <v>216</v>
      </c>
      <c r="C531" s="57">
        <f t="shared" ref="C531:C535" si="358">+D513</f>
        <v>1154.5</v>
      </c>
      <c r="D531" s="57">
        <v>1164.0833333333333</v>
      </c>
      <c r="E531" s="100" t="s">
        <v>61</v>
      </c>
      <c r="F531" s="100">
        <f t="shared" ref="F531:F535" si="359">+G513</f>
        <v>35759952.621808477</v>
      </c>
      <c r="G531" s="100">
        <f t="shared" ref="G531:G535" si="360">+I423</f>
        <v>34942744.746606827</v>
      </c>
      <c r="H531" s="100">
        <f t="shared" ref="H531:H535" si="361">+I513</f>
        <v>35328349.940868773</v>
      </c>
      <c r="I531" s="100">
        <f>+G531*K$527</f>
        <v>34963730.152429223</v>
      </c>
      <c r="J531" s="100">
        <f t="shared" ref="J531:J535" si="362">+F531/C531</f>
        <v>30974.406775061478</v>
      </c>
      <c r="K531" s="100">
        <f t="shared" si="357"/>
        <v>30017.391148921321</v>
      </c>
      <c r="L531" s="100">
        <f t="shared" ref="L531:L535" si="363">+H531/C531</f>
        <v>30600.562963073862</v>
      </c>
      <c r="M531" s="100">
        <f t="shared" ref="M531:M535" si="364">+I531/D531</f>
        <v>30035.418557459423</v>
      </c>
    </row>
    <row r="532" spans="2:13" x14ac:dyDescent="0.2">
      <c r="B532" s="138" t="s">
        <v>120</v>
      </c>
      <c r="C532" s="57">
        <f t="shared" si="358"/>
        <v>135.91666666666666</v>
      </c>
      <c r="D532" s="57">
        <v>132.25</v>
      </c>
      <c r="E532" s="155" t="s">
        <v>62</v>
      </c>
      <c r="F532" s="100">
        <f t="shared" si="359"/>
        <v>297736.30999999994</v>
      </c>
      <c r="G532" s="100">
        <f t="shared" si="360"/>
        <v>298865.18999999994</v>
      </c>
      <c r="H532" s="100">
        <f t="shared" si="361"/>
        <v>297736.30999999994</v>
      </c>
      <c r="I532" s="100">
        <f t="shared" ref="I532:I533" si="365">+G532</f>
        <v>298865.18999999994</v>
      </c>
      <c r="J532" s="100">
        <f t="shared" si="362"/>
        <v>2190.5798405885957</v>
      </c>
      <c r="K532" s="100">
        <f t="shared" si="357"/>
        <v>2259.850207939508</v>
      </c>
      <c r="L532" s="100">
        <f t="shared" si="363"/>
        <v>2190.5798405885957</v>
      </c>
      <c r="M532" s="100">
        <f t="shared" si="364"/>
        <v>2259.850207939508</v>
      </c>
    </row>
    <row r="533" spans="2:13" x14ac:dyDescent="0.2">
      <c r="B533" s="138" t="s">
        <v>114</v>
      </c>
      <c r="C533" s="57">
        <f t="shared" si="358"/>
        <v>2900</v>
      </c>
      <c r="D533" s="57">
        <v>2939</v>
      </c>
      <c r="E533" s="155" t="s">
        <v>62</v>
      </c>
      <c r="F533" s="100">
        <f t="shared" si="359"/>
        <v>2423.3099999999995</v>
      </c>
      <c r="G533" s="100">
        <f t="shared" si="360"/>
        <v>2459.6399999999994</v>
      </c>
      <c r="H533" s="100">
        <f t="shared" si="361"/>
        <v>2423.3099999999995</v>
      </c>
      <c r="I533" s="100">
        <f t="shared" si="365"/>
        <v>2459.6399999999994</v>
      </c>
      <c r="J533" s="100">
        <f t="shared" si="362"/>
        <v>0.83562413793103429</v>
      </c>
      <c r="K533" s="100">
        <f t="shared" si="357"/>
        <v>0.83689690370874426</v>
      </c>
      <c r="L533" s="100">
        <f t="shared" si="363"/>
        <v>0.83562413793103429</v>
      </c>
      <c r="M533" s="100">
        <f t="shared" si="364"/>
        <v>0.83689690370874426</v>
      </c>
    </row>
    <row r="534" spans="2:13" x14ac:dyDescent="0.2">
      <c r="B534" s="138" t="s">
        <v>68</v>
      </c>
      <c r="C534" s="57">
        <f t="shared" si="358"/>
        <v>153.66666666666666</v>
      </c>
      <c r="D534" s="57">
        <v>155.5</v>
      </c>
      <c r="E534" s="155" t="s">
        <v>62</v>
      </c>
      <c r="F534" s="100">
        <f t="shared" si="359"/>
        <v>280.60000000000002</v>
      </c>
      <c r="G534" s="100">
        <f t="shared" si="360"/>
        <v>283.8</v>
      </c>
      <c r="H534" s="100">
        <f t="shared" si="361"/>
        <v>280.60000000000002</v>
      </c>
      <c r="I534" s="100">
        <f>+G534</f>
        <v>283.8</v>
      </c>
      <c r="J534" s="100">
        <f t="shared" si="362"/>
        <v>1.8260303687635577</v>
      </c>
      <c r="K534" s="100">
        <f t="shared" si="357"/>
        <v>1.8250803858520901</v>
      </c>
      <c r="L534" s="100">
        <f t="shared" si="363"/>
        <v>1.8260303687635577</v>
      </c>
      <c r="M534" s="100">
        <f t="shared" si="364"/>
        <v>1.8250803858520901</v>
      </c>
    </row>
    <row r="535" spans="2:13" x14ac:dyDescent="0.2">
      <c r="B535" s="138" t="s">
        <v>169</v>
      </c>
      <c r="C535" s="57">
        <f t="shared" si="358"/>
        <v>97</v>
      </c>
      <c r="D535" s="57">
        <v>97</v>
      </c>
      <c r="E535" s="155" t="s">
        <v>61</v>
      </c>
      <c r="F535" s="100">
        <f t="shared" si="359"/>
        <v>375339.18519225245</v>
      </c>
      <c r="G535" s="100">
        <f t="shared" si="360"/>
        <v>375339.18519225245</v>
      </c>
      <c r="H535" s="100">
        <f t="shared" si="361"/>
        <v>370809.05059436976</v>
      </c>
      <c r="I535" s="100">
        <f>+G535*K$527</f>
        <v>375564.60094534868</v>
      </c>
      <c r="J535" s="100">
        <f t="shared" si="362"/>
        <v>3869.4761360026027</v>
      </c>
      <c r="K535" s="100">
        <f t="shared" si="357"/>
        <v>3869.4761360026027</v>
      </c>
      <c r="L535" s="100">
        <f t="shared" si="363"/>
        <v>3822.7737174677295</v>
      </c>
      <c r="M535" s="100">
        <f t="shared" si="364"/>
        <v>3871.8000097458626</v>
      </c>
    </row>
    <row r="536" spans="2:13" x14ac:dyDescent="0.2">
      <c r="B536" s="153" t="s">
        <v>209</v>
      </c>
      <c r="C536" s="153" t="s">
        <v>228</v>
      </c>
      <c r="D536" s="153" t="s">
        <v>229</v>
      </c>
      <c r="E536" s="153"/>
      <c r="F536" s="153" t="s">
        <v>222</v>
      </c>
      <c r="G536" s="153" t="s">
        <v>229</v>
      </c>
      <c r="H536" s="153" t="str">
        <f>+F536</f>
        <v>Volume</v>
      </c>
      <c r="I536" s="153" t="str">
        <f>+G536</f>
        <v>%</v>
      </c>
      <c r="J536" s="153" t="str">
        <f t="shared" ref="J536" si="366">+H536</f>
        <v>Volume</v>
      </c>
      <c r="K536" s="153" t="str">
        <f t="shared" ref="K536" si="367">+I536</f>
        <v>%</v>
      </c>
      <c r="L536" s="153" t="str">
        <f t="shared" ref="L536" si="368">+J536</f>
        <v>Volume</v>
      </c>
      <c r="M536" s="153" t="str">
        <f t="shared" ref="M536" si="369">+K536</f>
        <v>%</v>
      </c>
    </row>
    <row r="537" spans="2:13" x14ac:dyDescent="0.2">
      <c r="B537" s="139" t="str">
        <f>+B530</f>
        <v>Residential</v>
      </c>
      <c r="C537" s="100">
        <f>+D530-C530</f>
        <v>116.91666666666606</v>
      </c>
      <c r="D537" s="101">
        <f>(D530-C530)/C530</f>
        <v>1.0421231681138482E-2</v>
      </c>
      <c r="E537" s="100" t="str">
        <f>+E530</f>
        <v>kWh</v>
      </c>
      <c r="F537" s="100">
        <f t="shared" ref="F537:F542" si="370">+G530-F530</f>
        <v>-2528989.466290459</v>
      </c>
      <c r="G537" s="101">
        <f t="shared" ref="G537:G542" si="371">(G530-F530)/F530</f>
        <v>-2.7576110666155913E-2</v>
      </c>
      <c r="H537" s="100">
        <f t="shared" ref="H537:H542" si="372">+I530-H530</f>
        <v>-1368549.0748799741</v>
      </c>
      <c r="I537" s="101">
        <f t="shared" ref="I537:I542" si="373">(I530-H530)/H530</f>
        <v>-1.5104972864073167E-2</v>
      </c>
      <c r="J537" s="100">
        <f t="shared" ref="J537:J542" si="374">+K530-J530</f>
        <v>-307.40249754677552</v>
      </c>
      <c r="K537" s="101">
        <f t="shared" ref="K537:K542" si="375">(K530-J530)/J530</f>
        <v>-3.7605447268833053E-2</v>
      </c>
      <c r="L537" s="100">
        <f t="shared" ref="L537:L542" si="376">+M530-L530</f>
        <v>-204.01722390379473</v>
      </c>
      <c r="M537" s="101">
        <f t="shared" ref="M537:M542" si="377">(M530-L530)/L530</f>
        <v>-2.5262933660589411E-2</v>
      </c>
    </row>
    <row r="538" spans="2:13" x14ac:dyDescent="0.2">
      <c r="B538" s="139" t="str">
        <f t="shared" ref="B538:B542" si="378">+B531</f>
        <v>GS&lt;50 kW</v>
      </c>
      <c r="C538" s="100">
        <f t="shared" ref="C538:C542" si="379">+D531-C531</f>
        <v>9.5833333333332575</v>
      </c>
      <c r="D538" s="101">
        <f t="shared" ref="D538:D542" si="380">(D531-C531)/C531</f>
        <v>8.3008517395697333E-3</v>
      </c>
      <c r="E538" s="100" t="str">
        <f t="shared" ref="E538:E542" si="381">+E531</f>
        <v>kWh</v>
      </c>
      <c r="F538" s="100">
        <f t="shared" si="370"/>
        <v>-817207.87520164996</v>
      </c>
      <c r="G538" s="101">
        <f t="shared" si="371"/>
        <v>-2.2852599494308883E-2</v>
      </c>
      <c r="H538" s="100">
        <f t="shared" si="372"/>
        <v>-364619.78843954951</v>
      </c>
      <c r="I538" s="101">
        <f t="shared" si="373"/>
        <v>-1.0320883626035069E-2</v>
      </c>
      <c r="J538" s="100">
        <f t="shared" si="374"/>
        <v>-957.01562614015711</v>
      </c>
      <c r="K538" s="101">
        <f t="shared" si="375"/>
        <v>-3.0896979983832399E-2</v>
      </c>
      <c r="L538" s="100">
        <f t="shared" si="376"/>
        <v>-565.14440561443917</v>
      </c>
      <c r="M538" s="101">
        <f t="shared" si="377"/>
        <v>-1.8468431652594333E-2</v>
      </c>
    </row>
    <row r="539" spans="2:13" x14ac:dyDescent="0.2">
      <c r="B539" s="139" t="str">
        <f t="shared" si="378"/>
        <v>GS&gt;50 kW</v>
      </c>
      <c r="C539" s="100">
        <f t="shared" si="379"/>
        <v>-3.6666666666666572</v>
      </c>
      <c r="D539" s="101">
        <f t="shared" si="380"/>
        <v>-2.6977314530962533E-2</v>
      </c>
      <c r="E539" s="155" t="str">
        <f t="shared" si="381"/>
        <v>kW</v>
      </c>
      <c r="F539" s="100">
        <f t="shared" si="370"/>
        <v>1128.8800000000047</v>
      </c>
      <c r="G539" s="101">
        <f t="shared" si="371"/>
        <v>3.7915429260206956E-3</v>
      </c>
      <c r="H539" s="100">
        <f t="shared" si="372"/>
        <v>1128.8800000000047</v>
      </c>
      <c r="I539" s="101">
        <f t="shared" si="373"/>
        <v>3.7915429260206956E-3</v>
      </c>
      <c r="J539" s="100">
        <f t="shared" si="374"/>
        <v>69.270367350912238</v>
      </c>
      <c r="K539" s="101">
        <f t="shared" si="375"/>
        <v>3.1621932269905173E-2</v>
      </c>
      <c r="L539" s="100">
        <f t="shared" si="376"/>
        <v>69.270367350912238</v>
      </c>
      <c r="M539" s="101">
        <f t="shared" si="377"/>
        <v>3.1621932269905173E-2</v>
      </c>
    </row>
    <row r="540" spans="2:13" x14ac:dyDescent="0.2">
      <c r="B540" s="139" t="str">
        <f t="shared" si="378"/>
        <v>Street Lighting</v>
      </c>
      <c r="C540" s="100">
        <f t="shared" si="379"/>
        <v>39</v>
      </c>
      <c r="D540" s="101">
        <f t="shared" si="380"/>
        <v>1.3448275862068966E-2</v>
      </c>
      <c r="E540" s="155" t="str">
        <f t="shared" si="381"/>
        <v>kW</v>
      </c>
      <c r="F540" s="100">
        <f t="shared" si="370"/>
        <v>36.329999999999927</v>
      </c>
      <c r="G540" s="101">
        <f t="shared" si="371"/>
        <v>1.4991891256174379E-2</v>
      </c>
      <c r="H540" s="100">
        <f t="shared" si="372"/>
        <v>36.329999999999927</v>
      </c>
      <c r="I540" s="101">
        <f t="shared" si="373"/>
        <v>1.4991891256174379E-2</v>
      </c>
      <c r="J540" s="100">
        <f t="shared" si="374"/>
        <v>1.272765777709961E-3</v>
      </c>
      <c r="K540" s="101">
        <f t="shared" si="375"/>
        <v>1.5231318961911138E-3</v>
      </c>
      <c r="L540" s="100">
        <f t="shared" si="376"/>
        <v>1.272765777709961E-3</v>
      </c>
      <c r="M540" s="101">
        <f t="shared" si="377"/>
        <v>1.5231318961911138E-3</v>
      </c>
    </row>
    <row r="541" spans="2:13" x14ac:dyDescent="0.2">
      <c r="B541" s="139" t="str">
        <f t="shared" si="378"/>
        <v>Sentinel Lights</v>
      </c>
      <c r="C541" s="100">
        <f t="shared" si="379"/>
        <v>1.8333333333333428</v>
      </c>
      <c r="D541" s="101">
        <f t="shared" si="380"/>
        <v>1.1930585683297242E-2</v>
      </c>
      <c r="E541" s="155" t="str">
        <f t="shared" si="381"/>
        <v>kW</v>
      </c>
      <c r="F541" s="100">
        <f t="shared" si="370"/>
        <v>3.1999999999999886</v>
      </c>
      <c r="G541" s="101">
        <f t="shared" si="371"/>
        <v>1.1404133998574442E-2</v>
      </c>
      <c r="H541" s="100">
        <f t="shared" si="372"/>
        <v>3.1999999999999886</v>
      </c>
      <c r="I541" s="101">
        <f t="shared" si="373"/>
        <v>1.1404133998574442E-2</v>
      </c>
      <c r="J541" s="100">
        <f t="shared" si="374"/>
        <v>-9.4998291146763947E-4</v>
      </c>
      <c r="K541" s="101">
        <f t="shared" si="375"/>
        <v>-5.2024485885790179E-4</v>
      </c>
      <c r="L541" s="100">
        <f t="shared" si="376"/>
        <v>-9.4998291146763947E-4</v>
      </c>
      <c r="M541" s="101">
        <f t="shared" si="377"/>
        <v>-5.2024485885790179E-4</v>
      </c>
    </row>
    <row r="542" spans="2:13" x14ac:dyDescent="0.2">
      <c r="B542" s="139" t="str">
        <f t="shared" si="378"/>
        <v>USL</v>
      </c>
      <c r="C542" s="100">
        <f t="shared" si="379"/>
        <v>0</v>
      </c>
      <c r="D542" s="101">
        <f t="shared" si="380"/>
        <v>0</v>
      </c>
      <c r="E542" s="155" t="str">
        <f t="shared" si="381"/>
        <v>kWh</v>
      </c>
      <c r="F542" s="100">
        <f t="shared" si="370"/>
        <v>0</v>
      </c>
      <c r="G542" s="101">
        <f t="shared" si="371"/>
        <v>0</v>
      </c>
      <c r="H542" s="100">
        <f t="shared" si="372"/>
        <v>4755.5503509789123</v>
      </c>
      <c r="I542" s="101">
        <f t="shared" si="373"/>
        <v>1.2824795790060252E-2</v>
      </c>
      <c r="J542" s="100">
        <f t="shared" si="374"/>
        <v>0</v>
      </c>
      <c r="K542" s="101">
        <f t="shared" si="375"/>
        <v>0</v>
      </c>
      <c r="L542" s="100">
        <f t="shared" si="376"/>
        <v>49.026292278133042</v>
      </c>
      <c r="M542" s="101">
        <f t="shared" si="377"/>
        <v>1.2824795790060232E-2</v>
      </c>
    </row>
    <row r="544" spans="2:13" x14ac:dyDescent="0.2">
      <c r="B544" s="47" t="str">
        <f>C547&amp;" vs "&amp;D547</f>
        <v>2019 Actual vs 2020 Actual</v>
      </c>
    </row>
    <row r="545" spans="2:13" x14ac:dyDescent="0.2">
      <c r="J545" s="156" t="s">
        <v>224</v>
      </c>
      <c r="K545" s="157">
        <f>+J428</f>
        <v>0.99529548914554633</v>
      </c>
    </row>
    <row r="546" spans="2:13" x14ac:dyDescent="0.2">
      <c r="B546" s="249" t="s">
        <v>208</v>
      </c>
      <c r="C546" s="247" t="s">
        <v>220</v>
      </c>
      <c r="D546" s="248"/>
      <c r="E546" s="249" t="s">
        <v>221</v>
      </c>
      <c r="F546" s="247" t="s">
        <v>222</v>
      </c>
      <c r="G546" s="248"/>
      <c r="H546" s="247" t="s">
        <v>226</v>
      </c>
      <c r="I546" s="248"/>
      <c r="J546" s="247" t="s">
        <v>223</v>
      </c>
      <c r="K546" s="248"/>
      <c r="L546" s="247" t="s">
        <v>225</v>
      </c>
      <c r="M546" s="248"/>
    </row>
    <row r="547" spans="2:13" x14ac:dyDescent="0.2">
      <c r="B547" s="249" t="s">
        <v>208</v>
      </c>
      <c r="C547" s="153" t="s">
        <v>235</v>
      </c>
      <c r="D547" s="153" t="s">
        <v>153</v>
      </c>
      <c r="E547" s="249" t="s">
        <v>215</v>
      </c>
      <c r="F547" s="153" t="str">
        <f>+C547</f>
        <v>2019 Actual</v>
      </c>
      <c r="G547" s="153" t="str">
        <f>+D547</f>
        <v>2020 Actual</v>
      </c>
      <c r="H547" s="153" t="str">
        <f>+F547</f>
        <v>2019 Actual</v>
      </c>
      <c r="I547" s="153" t="str">
        <f>+G547</f>
        <v>2020 Actual</v>
      </c>
      <c r="J547" s="153" t="str">
        <f t="shared" ref="J547" si="382">+H547</f>
        <v>2019 Actual</v>
      </c>
      <c r="K547" s="153" t="str">
        <f t="shared" ref="K547" si="383">+I547</f>
        <v>2020 Actual</v>
      </c>
      <c r="L547" s="153" t="str">
        <f t="shared" ref="L547" si="384">+J547</f>
        <v>2019 Actual</v>
      </c>
      <c r="M547" s="153" t="str">
        <f t="shared" ref="M547" si="385">+K547</f>
        <v>2020 Actual</v>
      </c>
    </row>
    <row r="548" spans="2:13" x14ac:dyDescent="0.2">
      <c r="B548" s="138" t="s">
        <v>100</v>
      </c>
      <c r="C548" s="57">
        <f>+D530</f>
        <v>11336</v>
      </c>
      <c r="D548" s="57" cm="1">
        <f t="array" ref="D548:D553">TRANSPOSE(C58:H58)</f>
        <v>11381.916666666666</v>
      </c>
      <c r="E548" s="100" t="s">
        <v>61</v>
      </c>
      <c r="F548" s="100">
        <f>+G530</f>
        <v>89180443.270875081</v>
      </c>
      <c r="G548" s="100">
        <f>+J422</f>
        <v>95587067.984431669</v>
      </c>
      <c r="H548" s="100">
        <f>+I530</f>
        <v>89234001.965449065</v>
      </c>
      <c r="I548" s="100">
        <f>+G548*K$545</f>
        <v>95137377.585553512</v>
      </c>
      <c r="J548" s="100">
        <f>+F548/C548</f>
        <v>7867.0115799995665</v>
      </c>
      <c r="K548" s="100">
        <f t="shared" ref="K548:K553" si="386">+G548/D548</f>
        <v>8398.1521551963287</v>
      </c>
      <c r="L548" s="100">
        <f>+H548/C548</f>
        <v>7871.7362354842153</v>
      </c>
      <c r="M548" s="100">
        <f>+I548/D548</f>
        <v>8358.6429572248544</v>
      </c>
    </row>
    <row r="549" spans="2:13" x14ac:dyDescent="0.2">
      <c r="B549" s="138" t="s">
        <v>216</v>
      </c>
      <c r="C549" s="57">
        <f t="shared" ref="C549:C553" si="387">+D531</f>
        <v>1164.0833333333333</v>
      </c>
      <c r="D549" s="57">
        <v>1163.8333333333333</v>
      </c>
      <c r="E549" s="100" t="s">
        <v>61</v>
      </c>
      <c r="F549" s="100">
        <f t="shared" ref="F549:F553" si="388">+G531</f>
        <v>34942744.746606827</v>
      </c>
      <c r="G549" s="100">
        <f t="shared" ref="G549:G553" si="389">+J423</f>
        <v>33629605.964253612</v>
      </c>
      <c r="H549" s="100">
        <f t="shared" ref="H549:H553" si="390">+I531</f>
        <v>34963730.152429223</v>
      </c>
      <c r="I549" s="100">
        <f>+G549*K$545</f>
        <v>33471395.11796378</v>
      </c>
      <c r="J549" s="100">
        <f t="shared" ref="J549:J553" si="391">+F549/C549</f>
        <v>30017.391148921321</v>
      </c>
      <c r="K549" s="100">
        <f t="shared" si="386"/>
        <v>28895.551451456635</v>
      </c>
      <c r="L549" s="100">
        <f t="shared" ref="L549:L553" si="392">+H549/C549</f>
        <v>30035.418557459423</v>
      </c>
      <c r="M549" s="100">
        <f t="shared" ref="M549:M553" si="393">+I549/D549</f>
        <v>28759.612016007832</v>
      </c>
    </row>
    <row r="550" spans="2:13" x14ac:dyDescent="0.2">
      <c r="B550" s="138" t="s">
        <v>120</v>
      </c>
      <c r="C550" s="57">
        <f t="shared" si="387"/>
        <v>132.25</v>
      </c>
      <c r="D550" s="57">
        <v>122.08333333333333</v>
      </c>
      <c r="E550" s="155" t="s">
        <v>62</v>
      </c>
      <c r="F550" s="100">
        <f t="shared" si="388"/>
        <v>298865.18999999994</v>
      </c>
      <c r="G550" s="100">
        <f t="shared" si="389"/>
        <v>278922.71999999997</v>
      </c>
      <c r="H550" s="100">
        <f t="shared" si="390"/>
        <v>298865.18999999994</v>
      </c>
      <c r="I550" s="100">
        <f t="shared" ref="I550:I551" si="394">+G550</f>
        <v>278922.71999999997</v>
      </c>
      <c r="J550" s="100">
        <f t="shared" si="391"/>
        <v>2259.850207939508</v>
      </c>
      <c r="K550" s="100">
        <f t="shared" si="386"/>
        <v>2284.6912218430034</v>
      </c>
      <c r="L550" s="100">
        <f t="shared" si="392"/>
        <v>2259.850207939508</v>
      </c>
      <c r="M550" s="100">
        <f t="shared" si="393"/>
        <v>2284.6912218430034</v>
      </c>
    </row>
    <row r="551" spans="2:13" x14ac:dyDescent="0.2">
      <c r="B551" s="138" t="s">
        <v>114</v>
      </c>
      <c r="C551" s="57">
        <f t="shared" si="387"/>
        <v>2939</v>
      </c>
      <c r="D551" s="57">
        <v>2944.1666666666665</v>
      </c>
      <c r="E551" s="155" t="s">
        <v>62</v>
      </c>
      <c r="F551" s="100">
        <f t="shared" si="388"/>
        <v>2459.6399999999994</v>
      </c>
      <c r="G551" s="100">
        <f t="shared" si="389"/>
        <v>2445.92</v>
      </c>
      <c r="H551" s="100">
        <f t="shared" si="390"/>
        <v>2459.6399999999994</v>
      </c>
      <c r="I551" s="100">
        <f t="shared" si="394"/>
        <v>2445.92</v>
      </c>
      <c r="J551" s="100">
        <f t="shared" si="391"/>
        <v>0.83689690370874426</v>
      </c>
      <c r="K551" s="100">
        <f t="shared" si="386"/>
        <v>0.83076818567789423</v>
      </c>
      <c r="L551" s="100">
        <f t="shared" si="392"/>
        <v>0.83689690370874426</v>
      </c>
      <c r="M551" s="100">
        <f t="shared" si="393"/>
        <v>0.83076818567789423</v>
      </c>
    </row>
    <row r="552" spans="2:13" x14ac:dyDescent="0.2">
      <c r="B552" s="138" t="s">
        <v>68</v>
      </c>
      <c r="C552" s="57">
        <f t="shared" si="387"/>
        <v>155.5</v>
      </c>
      <c r="D552" s="57">
        <v>157.66666666666666</v>
      </c>
      <c r="E552" s="155" t="s">
        <v>62</v>
      </c>
      <c r="F552" s="100">
        <f t="shared" si="388"/>
        <v>283.8</v>
      </c>
      <c r="G552" s="100">
        <f t="shared" si="389"/>
        <v>282.2</v>
      </c>
      <c r="H552" s="100">
        <f t="shared" si="390"/>
        <v>283.8</v>
      </c>
      <c r="I552" s="100">
        <f>+G552</f>
        <v>282.2</v>
      </c>
      <c r="J552" s="100">
        <f t="shared" si="391"/>
        <v>1.8250803858520901</v>
      </c>
      <c r="K552" s="100">
        <f t="shared" si="386"/>
        <v>1.7898520084566596</v>
      </c>
      <c r="L552" s="100">
        <f t="shared" si="392"/>
        <v>1.8250803858520901</v>
      </c>
      <c r="M552" s="100">
        <f t="shared" si="393"/>
        <v>1.7898520084566596</v>
      </c>
    </row>
    <row r="553" spans="2:13" x14ac:dyDescent="0.2">
      <c r="B553" s="138" t="s">
        <v>169</v>
      </c>
      <c r="C553" s="57">
        <f t="shared" si="387"/>
        <v>97</v>
      </c>
      <c r="D553" s="57">
        <v>97</v>
      </c>
      <c r="E553" s="155" t="s">
        <v>61</v>
      </c>
      <c r="F553" s="100">
        <f t="shared" si="388"/>
        <v>375339.18519225245</v>
      </c>
      <c r="G553" s="100">
        <f t="shared" si="389"/>
        <v>375339.18519225245</v>
      </c>
      <c r="H553" s="100">
        <f t="shared" si="390"/>
        <v>375564.60094534868</v>
      </c>
      <c r="I553" s="100">
        <f>+G553*K$545</f>
        <v>373573.39792141371</v>
      </c>
      <c r="J553" s="100">
        <f t="shared" si="391"/>
        <v>3869.4761360026027</v>
      </c>
      <c r="K553" s="100">
        <f t="shared" si="386"/>
        <v>3869.4761360026027</v>
      </c>
      <c r="L553" s="100">
        <f t="shared" si="392"/>
        <v>3871.8000097458626</v>
      </c>
      <c r="M553" s="100">
        <f t="shared" si="393"/>
        <v>3851.2721435197291</v>
      </c>
    </row>
    <row r="554" spans="2:13" x14ac:dyDescent="0.2">
      <c r="B554" s="153" t="s">
        <v>209</v>
      </c>
      <c r="C554" s="153" t="s">
        <v>228</v>
      </c>
      <c r="D554" s="153" t="s">
        <v>229</v>
      </c>
      <c r="E554" s="153"/>
      <c r="F554" s="153" t="s">
        <v>222</v>
      </c>
      <c r="G554" s="153" t="s">
        <v>229</v>
      </c>
      <c r="H554" s="153" t="str">
        <f>+F554</f>
        <v>Volume</v>
      </c>
      <c r="I554" s="153" t="str">
        <f>+G554</f>
        <v>%</v>
      </c>
      <c r="J554" s="153" t="str">
        <f t="shared" ref="J554" si="395">+H554</f>
        <v>Volume</v>
      </c>
      <c r="K554" s="153" t="str">
        <f t="shared" ref="K554" si="396">+I554</f>
        <v>%</v>
      </c>
      <c r="L554" s="153" t="str">
        <f t="shared" ref="L554" si="397">+J554</f>
        <v>Volume</v>
      </c>
      <c r="M554" s="153" t="str">
        <f t="shared" ref="M554" si="398">+K554</f>
        <v>%</v>
      </c>
    </row>
    <row r="555" spans="2:13" x14ac:dyDescent="0.2">
      <c r="B555" s="139" t="str">
        <f>+B548</f>
        <v>Residential</v>
      </c>
      <c r="C555" s="100">
        <f>+D548-C548</f>
        <v>45.91666666666606</v>
      </c>
      <c r="D555" s="101">
        <f>(D548-C548)/C548</f>
        <v>4.0505175252881142E-3</v>
      </c>
      <c r="E555" s="100" t="str">
        <f>+E548</f>
        <v>kWh</v>
      </c>
      <c r="F555" s="100">
        <f t="shared" ref="F555:F560" si="399">+G548-F548</f>
        <v>6406624.7135565877</v>
      </c>
      <c r="G555" s="101">
        <f t="shared" ref="G555:G560" si="400">(G548-F548)/F548</f>
        <v>7.1838897392528314E-2</v>
      </c>
      <c r="H555" s="100">
        <f t="shared" ref="H555:H560" si="401">+I548-H548</f>
        <v>5903375.620104447</v>
      </c>
      <c r="I555" s="101">
        <f t="shared" ref="I555:I560" si="402">(I548-H548)/H548</f>
        <v>6.6156123115381549E-2</v>
      </c>
      <c r="J555" s="100">
        <f t="shared" ref="J555:J560" si="403">+K548-J548</f>
        <v>531.14057519676226</v>
      </c>
      <c r="K555" s="101">
        <f t="shared" ref="K555:K560" si="404">(K548-J548)/J548</f>
        <v>6.7514909542918389E-2</v>
      </c>
      <c r="L555" s="100">
        <f t="shared" ref="L555:L560" si="405">+M548-L548</f>
        <v>486.90672174063911</v>
      </c>
      <c r="M555" s="101">
        <f t="shared" ref="M555:M560" si="406">(M548-L548)/L548</f>
        <v>6.185506058317361E-2</v>
      </c>
    </row>
    <row r="556" spans="2:13" x14ac:dyDescent="0.2">
      <c r="B556" s="139" t="str">
        <f t="shared" ref="B556:B560" si="407">+B549</f>
        <v>GS&lt;50 kW</v>
      </c>
      <c r="C556" s="100">
        <f t="shared" ref="C556:C560" si="408">+D549-C549</f>
        <v>-0.25</v>
      </c>
      <c r="D556" s="101">
        <f t="shared" ref="D556:D560" si="409">(D549-C549)/C549</f>
        <v>-2.1476125706922474E-4</v>
      </c>
      <c r="E556" s="100" t="str">
        <f t="shared" ref="E556:E560" si="410">+E549</f>
        <v>kWh</v>
      </c>
      <c r="F556" s="100">
        <f t="shared" si="399"/>
        <v>-1313138.7823532149</v>
      </c>
      <c r="G556" s="101">
        <f t="shared" si="400"/>
        <v>-3.7579726260076621E-2</v>
      </c>
      <c r="H556" s="100">
        <f t="shared" si="401"/>
        <v>-1492335.0344654433</v>
      </c>
      <c r="I556" s="101">
        <f t="shared" si="402"/>
        <v>-4.2682374791230861E-2</v>
      </c>
      <c r="J556" s="100">
        <f t="shared" si="403"/>
        <v>-1121.8396974646857</v>
      </c>
      <c r="K556" s="101">
        <f t="shared" si="404"/>
        <v>-3.7372991273593718E-2</v>
      </c>
      <c r="L556" s="100">
        <f t="shared" si="405"/>
        <v>-1275.8065414515913</v>
      </c>
      <c r="M556" s="101">
        <f t="shared" si="406"/>
        <v>-4.2476735891357816E-2</v>
      </c>
    </row>
    <row r="557" spans="2:13" x14ac:dyDescent="0.2">
      <c r="B557" s="139" t="str">
        <f t="shared" si="407"/>
        <v>GS&gt;50 kW</v>
      </c>
      <c r="C557" s="100">
        <f t="shared" si="408"/>
        <v>-10.166666666666671</v>
      </c>
      <c r="D557" s="101">
        <f t="shared" si="409"/>
        <v>-7.6874606175173318E-2</v>
      </c>
      <c r="E557" s="155" t="str">
        <f t="shared" si="410"/>
        <v>kW</v>
      </c>
      <c r="F557" s="100">
        <f t="shared" si="399"/>
        <v>-19942.469999999972</v>
      </c>
      <c r="G557" s="101">
        <f t="shared" si="400"/>
        <v>-6.6727309393241729E-2</v>
      </c>
      <c r="H557" s="100">
        <f t="shared" si="401"/>
        <v>-19942.469999999972</v>
      </c>
      <c r="I557" s="101">
        <f t="shared" si="402"/>
        <v>-6.6727309393241729E-2</v>
      </c>
      <c r="J557" s="100">
        <f t="shared" si="403"/>
        <v>24.841013903495423</v>
      </c>
      <c r="K557" s="101">
        <f t="shared" si="404"/>
        <v>1.0992327640222236E-2</v>
      </c>
      <c r="L557" s="100">
        <f t="shared" si="405"/>
        <v>24.841013903495423</v>
      </c>
      <c r="M557" s="101">
        <f t="shared" si="406"/>
        <v>1.0992327640222236E-2</v>
      </c>
    </row>
    <row r="558" spans="2:13" x14ac:dyDescent="0.2">
      <c r="B558" s="139" t="str">
        <f t="shared" si="407"/>
        <v>Street Lighting</v>
      </c>
      <c r="C558" s="100">
        <f t="shared" si="408"/>
        <v>5.1666666666665151</v>
      </c>
      <c r="D558" s="101">
        <f t="shared" si="409"/>
        <v>1.7579675626629857E-3</v>
      </c>
      <c r="E558" s="155" t="str">
        <f t="shared" si="410"/>
        <v>kW</v>
      </c>
      <c r="F558" s="100">
        <f t="shared" si="399"/>
        <v>-13.719999999999345</v>
      </c>
      <c r="G558" s="101">
        <f t="shared" si="400"/>
        <v>-5.578052072660775E-3</v>
      </c>
      <c r="H558" s="100">
        <f t="shared" si="401"/>
        <v>-13.719999999999345</v>
      </c>
      <c r="I558" s="101">
        <f t="shared" si="402"/>
        <v>-5.578052072660775E-3</v>
      </c>
      <c r="J558" s="100">
        <f t="shared" si="403"/>
        <v>-6.1287180308500222E-3</v>
      </c>
      <c r="K558" s="101">
        <f t="shared" si="404"/>
        <v>-7.3231457825812798E-3</v>
      </c>
      <c r="L558" s="100">
        <f t="shared" si="405"/>
        <v>-6.1287180308500222E-3</v>
      </c>
      <c r="M558" s="101">
        <f t="shared" si="406"/>
        <v>-7.3231457825812798E-3</v>
      </c>
    </row>
    <row r="559" spans="2:13" x14ac:dyDescent="0.2">
      <c r="B559" s="139" t="str">
        <f t="shared" si="407"/>
        <v>Sentinel Lights</v>
      </c>
      <c r="C559" s="100">
        <f t="shared" si="408"/>
        <v>2.1666666666666572</v>
      </c>
      <c r="D559" s="101">
        <f t="shared" si="409"/>
        <v>1.3933547695605512E-2</v>
      </c>
      <c r="E559" s="155" t="str">
        <f t="shared" si="410"/>
        <v>kW</v>
      </c>
      <c r="F559" s="100">
        <f t="shared" si="399"/>
        <v>-1.6000000000000227</v>
      </c>
      <c r="G559" s="101">
        <f t="shared" si="400"/>
        <v>-5.6377730796336248E-3</v>
      </c>
      <c r="H559" s="100">
        <f t="shared" si="401"/>
        <v>-1.6000000000000227</v>
      </c>
      <c r="I559" s="101">
        <f t="shared" si="402"/>
        <v>-5.6377730796336248E-3</v>
      </c>
      <c r="J559" s="100">
        <f t="shared" si="403"/>
        <v>-3.5228377395430499E-2</v>
      </c>
      <c r="K559" s="101">
        <f t="shared" si="404"/>
        <v>-1.9302370278327846E-2</v>
      </c>
      <c r="L559" s="100">
        <f t="shared" si="405"/>
        <v>-3.5228377395430499E-2</v>
      </c>
      <c r="M559" s="101">
        <f t="shared" si="406"/>
        <v>-1.9302370278327846E-2</v>
      </c>
    </row>
    <row r="560" spans="2:13" x14ac:dyDescent="0.2">
      <c r="B560" s="139" t="str">
        <f t="shared" si="407"/>
        <v>USL</v>
      </c>
      <c r="C560" s="100">
        <f t="shared" si="408"/>
        <v>0</v>
      </c>
      <c r="D560" s="101">
        <f t="shared" si="409"/>
        <v>0</v>
      </c>
      <c r="E560" s="155" t="str">
        <f t="shared" si="410"/>
        <v>kWh</v>
      </c>
      <c r="F560" s="100">
        <f t="shared" si="399"/>
        <v>0</v>
      </c>
      <c r="G560" s="101">
        <f t="shared" si="400"/>
        <v>0</v>
      </c>
      <c r="H560" s="100">
        <f t="shared" si="401"/>
        <v>-1991.2030239349697</v>
      </c>
      <c r="I560" s="101">
        <f t="shared" si="402"/>
        <v>-5.3018921882489268E-3</v>
      </c>
      <c r="J560" s="100">
        <f t="shared" si="403"/>
        <v>0</v>
      </c>
      <c r="K560" s="101">
        <f t="shared" si="404"/>
        <v>0</v>
      </c>
      <c r="L560" s="100">
        <f t="shared" si="405"/>
        <v>-20.527866226133483</v>
      </c>
      <c r="M560" s="101">
        <f t="shared" si="406"/>
        <v>-5.3018921882488686E-3</v>
      </c>
    </row>
    <row r="562" spans="2:13" x14ac:dyDescent="0.2">
      <c r="B562" s="47" t="str">
        <f>C565&amp;" vs "&amp;D565</f>
        <v>2020 Actual vs 2021 Actual</v>
      </c>
    </row>
    <row r="563" spans="2:13" x14ac:dyDescent="0.2">
      <c r="J563" s="156" t="s">
        <v>224</v>
      </c>
      <c r="K563" s="180">
        <f>+K428</f>
        <v>1.0022004898717782</v>
      </c>
    </row>
    <row r="564" spans="2:13" x14ac:dyDescent="0.2">
      <c r="B564" s="249" t="s">
        <v>208</v>
      </c>
      <c r="C564" s="247" t="s">
        <v>220</v>
      </c>
      <c r="D564" s="248"/>
      <c r="E564" s="249" t="s">
        <v>221</v>
      </c>
      <c r="F564" s="247" t="s">
        <v>222</v>
      </c>
      <c r="G564" s="248"/>
      <c r="H564" s="247" t="s">
        <v>226</v>
      </c>
      <c r="I564" s="248"/>
      <c r="J564" s="247" t="s">
        <v>223</v>
      </c>
      <c r="K564" s="248"/>
      <c r="L564" s="247" t="s">
        <v>225</v>
      </c>
      <c r="M564" s="248"/>
    </row>
    <row r="565" spans="2:13" x14ac:dyDescent="0.2">
      <c r="B565" s="249" t="s">
        <v>208</v>
      </c>
      <c r="C565" s="153" t="s">
        <v>153</v>
      </c>
      <c r="D565" s="153" t="s">
        <v>154</v>
      </c>
      <c r="E565" s="249" t="s">
        <v>215</v>
      </c>
      <c r="F565" s="153" t="str">
        <f>+C565</f>
        <v>2020 Actual</v>
      </c>
      <c r="G565" s="153" t="str">
        <f>+D565</f>
        <v>2021 Actual</v>
      </c>
      <c r="H565" s="153" t="str">
        <f>+F565</f>
        <v>2020 Actual</v>
      </c>
      <c r="I565" s="153" t="str">
        <f>+G565</f>
        <v>2021 Actual</v>
      </c>
      <c r="J565" s="153" t="str">
        <f t="shared" ref="J565" si="411">+H565</f>
        <v>2020 Actual</v>
      </c>
      <c r="K565" s="153" t="str">
        <f t="shared" ref="K565" si="412">+I565</f>
        <v>2021 Actual</v>
      </c>
      <c r="L565" s="153" t="str">
        <f t="shared" ref="L565" si="413">+J565</f>
        <v>2020 Actual</v>
      </c>
      <c r="M565" s="153" t="str">
        <f t="shared" ref="M565" si="414">+K565</f>
        <v>2021 Actual</v>
      </c>
    </row>
    <row r="566" spans="2:13" x14ac:dyDescent="0.2">
      <c r="B566" s="138" t="s">
        <v>100</v>
      </c>
      <c r="C566" s="57">
        <f>+D548</f>
        <v>11381.916666666666</v>
      </c>
      <c r="D566" s="57" cm="1">
        <f t="array" ref="D566:D571">TRANSPOSE(C59:H59)</f>
        <v>11468.75</v>
      </c>
      <c r="E566" s="100" t="s">
        <v>61</v>
      </c>
      <c r="F566" s="100">
        <f>+G548</f>
        <v>95587067.984431669</v>
      </c>
      <c r="G566" s="100">
        <f>+K422</f>
        <v>95087325.556198344</v>
      </c>
      <c r="H566" s="100">
        <f>+I548</f>
        <v>95137377.585553512</v>
      </c>
      <c r="I566" s="100">
        <f>+G566*K$563</f>
        <v>95296564.253019243</v>
      </c>
      <c r="J566" s="100">
        <f>+F566/C566</f>
        <v>8398.1521551963287</v>
      </c>
      <c r="K566" s="100">
        <f t="shared" ref="K566:K571" si="415">+G566/D566</f>
        <v>8290.9929640281935</v>
      </c>
      <c r="L566" s="100">
        <f>+H566/C566</f>
        <v>8358.6429572248544</v>
      </c>
      <c r="M566" s="100">
        <f>+I566/D566</f>
        <v>8309.2372100725224</v>
      </c>
    </row>
    <row r="567" spans="2:13" x14ac:dyDescent="0.2">
      <c r="B567" s="138" t="s">
        <v>216</v>
      </c>
      <c r="C567" s="57">
        <f t="shared" ref="C567:C571" si="416">+D549</f>
        <v>1163.8333333333333</v>
      </c>
      <c r="D567" s="57">
        <v>1166.5833333333333</v>
      </c>
      <c r="E567" s="100" t="s">
        <v>61</v>
      </c>
      <c r="F567" s="100">
        <f t="shared" ref="F567:F571" si="417">+G549</f>
        <v>33629605.964253612</v>
      </c>
      <c r="G567" s="100">
        <f t="shared" ref="G567:G571" si="418">+K423</f>
        <v>33533529.262311421</v>
      </c>
      <c r="H567" s="100">
        <f t="shared" ref="H567:H571" si="419">+I549</f>
        <v>33471395.11796378</v>
      </c>
      <c r="I567" s="100">
        <f>+G567*K$563</f>
        <v>33607319.45381812</v>
      </c>
      <c r="J567" s="100">
        <f t="shared" ref="J567:J571" si="420">+F567/C567</f>
        <v>28895.551451456635</v>
      </c>
      <c r="K567" s="100">
        <f t="shared" si="415"/>
        <v>28745.078301859925</v>
      </c>
      <c r="L567" s="100">
        <f t="shared" ref="L567:L571" si="421">+H567/C567</f>
        <v>28759.612016007832</v>
      </c>
      <c r="M567" s="100">
        <f t="shared" ref="M567:M571" si="422">+I567/D567</f>
        <v>28808.331555526642</v>
      </c>
    </row>
    <row r="568" spans="2:13" x14ac:dyDescent="0.2">
      <c r="B568" s="138" t="s">
        <v>120</v>
      </c>
      <c r="C568" s="57">
        <f t="shared" si="416"/>
        <v>122.08333333333333</v>
      </c>
      <c r="D568" s="57">
        <v>126</v>
      </c>
      <c r="E568" s="155" t="s">
        <v>62</v>
      </c>
      <c r="F568" s="100">
        <f t="shared" si="417"/>
        <v>278922.71999999997</v>
      </c>
      <c r="G568" s="100">
        <f t="shared" si="418"/>
        <v>301675.62</v>
      </c>
      <c r="H568" s="100">
        <f t="shared" si="419"/>
        <v>278922.71999999997</v>
      </c>
      <c r="I568" s="100">
        <f t="shared" ref="I568:I569" si="423">+G568</f>
        <v>301675.62</v>
      </c>
      <c r="J568" s="100">
        <f t="shared" si="420"/>
        <v>2284.6912218430034</v>
      </c>
      <c r="K568" s="100">
        <f t="shared" si="415"/>
        <v>2394.2509523809522</v>
      </c>
      <c r="L568" s="100">
        <f t="shared" si="421"/>
        <v>2284.6912218430034</v>
      </c>
      <c r="M568" s="100">
        <f t="shared" si="422"/>
        <v>2394.2509523809522</v>
      </c>
    </row>
    <row r="569" spans="2:13" x14ac:dyDescent="0.2">
      <c r="B569" s="138" t="s">
        <v>114</v>
      </c>
      <c r="C569" s="57">
        <f t="shared" si="416"/>
        <v>2944.1666666666665</v>
      </c>
      <c r="D569" s="57">
        <v>2965.9166666666665</v>
      </c>
      <c r="E569" s="155" t="s">
        <v>62</v>
      </c>
      <c r="F569" s="100">
        <f t="shared" si="417"/>
        <v>2445.92</v>
      </c>
      <c r="G569" s="100">
        <f t="shared" si="418"/>
        <v>2420.3500000000004</v>
      </c>
      <c r="H569" s="100">
        <f t="shared" si="419"/>
        <v>2445.92</v>
      </c>
      <c r="I569" s="100">
        <f t="shared" si="423"/>
        <v>2420.3500000000004</v>
      </c>
      <c r="J569" s="100">
        <f t="shared" si="420"/>
        <v>0.83076818567789423</v>
      </c>
      <c r="K569" s="100">
        <f t="shared" si="415"/>
        <v>0.81605462055013922</v>
      </c>
      <c r="L569" s="100">
        <f t="shared" si="421"/>
        <v>0.83076818567789423</v>
      </c>
      <c r="M569" s="100">
        <f t="shared" si="422"/>
        <v>0.81605462055013922</v>
      </c>
    </row>
    <row r="570" spans="2:13" x14ac:dyDescent="0.2">
      <c r="B570" s="138" t="s">
        <v>68</v>
      </c>
      <c r="C570" s="57">
        <f t="shared" si="416"/>
        <v>157.66666666666666</v>
      </c>
      <c r="D570" s="57">
        <v>158</v>
      </c>
      <c r="E570" s="155" t="s">
        <v>62</v>
      </c>
      <c r="F570" s="100">
        <f t="shared" si="417"/>
        <v>282.2</v>
      </c>
      <c r="G570" s="100">
        <f t="shared" si="418"/>
        <v>282</v>
      </c>
      <c r="H570" s="100">
        <f t="shared" si="419"/>
        <v>282.2</v>
      </c>
      <c r="I570" s="100">
        <f>+G570</f>
        <v>282</v>
      </c>
      <c r="J570" s="100">
        <f t="shared" si="420"/>
        <v>1.7898520084566596</v>
      </c>
      <c r="K570" s="100">
        <f t="shared" si="415"/>
        <v>1.7848101265822784</v>
      </c>
      <c r="L570" s="100">
        <f t="shared" si="421"/>
        <v>1.7898520084566596</v>
      </c>
      <c r="M570" s="100">
        <f t="shared" si="422"/>
        <v>1.7848101265822784</v>
      </c>
    </row>
    <row r="571" spans="2:13" x14ac:dyDescent="0.2">
      <c r="B571" s="138" t="s">
        <v>169</v>
      </c>
      <c r="C571" s="57">
        <f t="shared" si="416"/>
        <v>97</v>
      </c>
      <c r="D571" s="57">
        <v>98</v>
      </c>
      <c r="E571" s="155" t="s">
        <v>61</v>
      </c>
      <c r="F571" s="100">
        <f t="shared" si="417"/>
        <v>375339.18519225245</v>
      </c>
      <c r="G571" s="100">
        <f t="shared" si="418"/>
        <v>375339.18519225245</v>
      </c>
      <c r="H571" s="100">
        <f t="shared" si="419"/>
        <v>373573.39792141371</v>
      </c>
      <c r="I571" s="100">
        <f>+G571*K$563</f>
        <v>376165.11526774947</v>
      </c>
      <c r="J571" s="100">
        <f t="shared" si="420"/>
        <v>3869.4761360026027</v>
      </c>
      <c r="K571" s="100">
        <f t="shared" si="415"/>
        <v>3829.9916856352293</v>
      </c>
      <c r="L571" s="100">
        <f t="shared" si="421"/>
        <v>3851.2721435197291</v>
      </c>
      <c r="M571" s="100">
        <f t="shared" si="422"/>
        <v>3838.4195435484639</v>
      </c>
    </row>
    <row r="572" spans="2:13" x14ac:dyDescent="0.2">
      <c r="B572" s="153" t="s">
        <v>209</v>
      </c>
      <c r="C572" s="153" t="s">
        <v>228</v>
      </c>
      <c r="D572" s="153" t="s">
        <v>229</v>
      </c>
      <c r="E572" s="153"/>
      <c r="F572" s="153" t="s">
        <v>222</v>
      </c>
      <c r="G572" s="153" t="s">
        <v>229</v>
      </c>
      <c r="H572" s="153" t="str">
        <f>+F572</f>
        <v>Volume</v>
      </c>
      <c r="I572" s="153" t="str">
        <f>+G572</f>
        <v>%</v>
      </c>
      <c r="J572" s="153" t="str">
        <f t="shared" ref="J572" si="424">+H572</f>
        <v>Volume</v>
      </c>
      <c r="K572" s="153" t="str">
        <f t="shared" ref="K572" si="425">+I572</f>
        <v>%</v>
      </c>
      <c r="L572" s="153" t="str">
        <f t="shared" ref="L572" si="426">+J572</f>
        <v>Volume</v>
      </c>
      <c r="M572" s="153" t="str">
        <f t="shared" ref="M572" si="427">+K572</f>
        <v>%</v>
      </c>
    </row>
    <row r="573" spans="2:13" x14ac:dyDescent="0.2">
      <c r="B573" s="139" t="str">
        <f>+B566</f>
        <v>Residential</v>
      </c>
      <c r="C573" s="100">
        <f>+D566-C566</f>
        <v>86.83333333333394</v>
      </c>
      <c r="D573" s="101">
        <f>(D566-C566)/C566</f>
        <v>7.6290607176589132E-3</v>
      </c>
      <c r="E573" s="100" t="str">
        <f>+E566</f>
        <v>kWh</v>
      </c>
      <c r="F573" s="100">
        <f t="shared" ref="F573:F578" si="428">+G566-F566</f>
        <v>-499742.42823332548</v>
      </c>
      <c r="G573" s="101">
        <f t="shared" ref="G573:G578" si="429">(G566-F566)/F566</f>
        <v>-5.2281384790955074E-3</v>
      </c>
      <c r="H573" s="100">
        <f t="shared" ref="H573:H578" si="430">+I566-H566</f>
        <v>159186.6674657315</v>
      </c>
      <c r="I573" s="101">
        <f t="shared" ref="I573:I578" si="431">(I566-H566)/H566</f>
        <v>1.6732295077461099E-3</v>
      </c>
      <c r="J573" s="100">
        <f t="shared" ref="J573:J578" si="432">+K566-J566</f>
        <v>-107.15919116813529</v>
      </c>
      <c r="K573" s="101">
        <f t="shared" ref="K573:K578" si="433">(K566-J566)/J566</f>
        <v>-1.2759853499657171E-2</v>
      </c>
      <c r="L573" s="100">
        <f t="shared" ref="L573:L578" si="434">+M566-L566</f>
        <v>-49.405747152331969</v>
      </c>
      <c r="M573" s="101">
        <f t="shared" ref="M573:M578" si="435">(M566-L566)/L566</f>
        <v>-5.9107378321055989E-3</v>
      </c>
    </row>
    <row r="574" spans="2:13" x14ac:dyDescent="0.2">
      <c r="B574" s="139" t="str">
        <f t="shared" ref="B574:B578" si="436">+B567</f>
        <v>GS&lt;50 kW</v>
      </c>
      <c r="C574" s="100">
        <f t="shared" ref="C574:C578" si="437">+D567-C567</f>
        <v>2.75</v>
      </c>
      <c r="D574" s="101">
        <f t="shared" ref="D574:D578" si="438">(D567-C567)/C567</f>
        <v>2.3628812831161393E-3</v>
      </c>
      <c r="E574" s="100" t="str">
        <f t="shared" ref="E574:E578" si="439">+E567</f>
        <v>kWh</v>
      </c>
      <c r="F574" s="100">
        <f t="shared" si="428"/>
        <v>-96076.701942190528</v>
      </c>
      <c r="G574" s="101">
        <f t="shared" si="429"/>
        <v>-2.8569083457092742E-3</v>
      </c>
      <c r="H574" s="100">
        <f t="shared" si="430"/>
        <v>135924.33585434034</v>
      </c>
      <c r="I574" s="101">
        <f t="shared" si="431"/>
        <v>4.0609103796032404E-3</v>
      </c>
      <c r="J574" s="100">
        <f t="shared" si="432"/>
        <v>-150.47314959670985</v>
      </c>
      <c r="K574" s="101">
        <f t="shared" si="433"/>
        <v>-5.2074849600810937E-3</v>
      </c>
      <c r="L574" s="100">
        <f t="shared" si="434"/>
        <v>48.719539518810052</v>
      </c>
      <c r="M574" s="101">
        <f t="shared" si="435"/>
        <v>1.69402631341801E-3</v>
      </c>
    </row>
    <row r="575" spans="2:13" x14ac:dyDescent="0.2">
      <c r="B575" s="139" t="str">
        <f t="shared" si="436"/>
        <v>GS&gt;50 kW</v>
      </c>
      <c r="C575" s="100">
        <f t="shared" si="437"/>
        <v>3.9166666666666714</v>
      </c>
      <c r="D575" s="101">
        <f t="shared" si="438"/>
        <v>3.2081911262798676E-2</v>
      </c>
      <c r="E575" s="155" t="str">
        <f t="shared" si="439"/>
        <v>kW</v>
      </c>
      <c r="F575" s="100">
        <f t="shared" si="428"/>
        <v>22752.900000000023</v>
      </c>
      <c r="G575" s="101">
        <f t="shared" si="429"/>
        <v>8.1574208081722513E-2</v>
      </c>
      <c r="H575" s="100">
        <f t="shared" si="430"/>
        <v>22752.900000000023</v>
      </c>
      <c r="I575" s="101">
        <f t="shared" si="431"/>
        <v>8.1574208081722513E-2</v>
      </c>
      <c r="J575" s="100">
        <f t="shared" si="432"/>
        <v>109.55973053794878</v>
      </c>
      <c r="K575" s="101">
        <f t="shared" si="433"/>
        <v>4.7953845793467738E-2</v>
      </c>
      <c r="L575" s="100">
        <f t="shared" si="434"/>
        <v>109.55973053794878</v>
      </c>
      <c r="M575" s="101">
        <f t="shared" si="435"/>
        <v>4.7953845793467738E-2</v>
      </c>
    </row>
    <row r="576" spans="2:13" x14ac:dyDescent="0.2">
      <c r="B576" s="139" t="str">
        <f t="shared" si="436"/>
        <v>Street Lighting</v>
      </c>
      <c r="C576" s="100">
        <f t="shared" si="437"/>
        <v>21.75</v>
      </c>
      <c r="D576" s="101">
        <f t="shared" si="438"/>
        <v>7.3874893857911132E-3</v>
      </c>
      <c r="E576" s="155" t="str">
        <f t="shared" si="439"/>
        <v>kW</v>
      </c>
      <c r="F576" s="100">
        <f t="shared" si="428"/>
        <v>-25.569999999999709</v>
      </c>
      <c r="G576" s="101">
        <f t="shared" si="429"/>
        <v>-1.04541440439588E-2</v>
      </c>
      <c r="H576" s="100">
        <f t="shared" si="430"/>
        <v>-25.569999999999709</v>
      </c>
      <c r="I576" s="101">
        <f t="shared" si="431"/>
        <v>-1.04541440439588E-2</v>
      </c>
      <c r="J576" s="100">
        <f t="shared" si="432"/>
        <v>-1.4713565127755013E-2</v>
      </c>
      <c r="K576" s="101">
        <f t="shared" si="433"/>
        <v>-1.7710795118795947E-2</v>
      </c>
      <c r="L576" s="100">
        <f t="shared" si="434"/>
        <v>-1.4713565127755013E-2</v>
      </c>
      <c r="M576" s="101">
        <f t="shared" si="435"/>
        <v>-1.7710795118795947E-2</v>
      </c>
    </row>
    <row r="577" spans="2:13" x14ac:dyDescent="0.2">
      <c r="B577" s="139" t="str">
        <f t="shared" si="436"/>
        <v>Sentinel Lights</v>
      </c>
      <c r="C577" s="100">
        <f t="shared" si="437"/>
        <v>0.33333333333334281</v>
      </c>
      <c r="D577" s="101">
        <f t="shared" si="438"/>
        <v>2.1141649048626397E-3</v>
      </c>
      <c r="E577" s="155" t="str">
        <f t="shared" si="439"/>
        <v>kW</v>
      </c>
      <c r="F577" s="100">
        <f t="shared" si="428"/>
        <v>-0.19999999999998863</v>
      </c>
      <c r="G577" s="101">
        <f t="shared" si="429"/>
        <v>-7.0871722182845012E-4</v>
      </c>
      <c r="H577" s="100">
        <f t="shared" si="430"/>
        <v>-0.19999999999998863</v>
      </c>
      <c r="I577" s="101">
        <f t="shared" si="431"/>
        <v>-7.0871722182845012E-4</v>
      </c>
      <c r="J577" s="100">
        <f t="shared" si="432"/>
        <v>-5.0418818743811489E-3</v>
      </c>
      <c r="K577" s="101">
        <f t="shared" si="433"/>
        <v>-2.816926679166411E-3</v>
      </c>
      <c r="L577" s="100">
        <f t="shared" si="434"/>
        <v>-5.0418818743811489E-3</v>
      </c>
      <c r="M577" s="101">
        <f t="shared" si="435"/>
        <v>-2.816926679166411E-3</v>
      </c>
    </row>
    <row r="578" spans="2:13" x14ac:dyDescent="0.2">
      <c r="B578" s="139" t="str">
        <f t="shared" si="436"/>
        <v>USL</v>
      </c>
      <c r="C578" s="100">
        <f t="shared" si="437"/>
        <v>1</v>
      </c>
      <c r="D578" s="101">
        <f t="shared" si="438"/>
        <v>1.0309278350515464E-2</v>
      </c>
      <c r="E578" s="155" t="str">
        <f t="shared" si="439"/>
        <v>kWh</v>
      </c>
      <c r="F578" s="100">
        <f t="shared" si="428"/>
        <v>0</v>
      </c>
      <c r="G578" s="101">
        <f t="shared" si="429"/>
        <v>0</v>
      </c>
      <c r="H578" s="100">
        <f t="shared" si="430"/>
        <v>2591.7173463357612</v>
      </c>
      <c r="I578" s="101">
        <f t="shared" si="431"/>
        <v>6.9376389238533648E-3</v>
      </c>
      <c r="J578" s="100">
        <f t="shared" si="432"/>
        <v>-39.484450367373483</v>
      </c>
      <c r="K578" s="101">
        <f t="shared" si="433"/>
        <v>-1.0204081632653057E-2</v>
      </c>
      <c r="L578" s="100">
        <f t="shared" si="434"/>
        <v>-12.852599971265136</v>
      </c>
      <c r="M578" s="101">
        <f t="shared" si="435"/>
        <v>-3.3372349427166093E-3</v>
      </c>
    </row>
    <row r="580" spans="2:13" x14ac:dyDescent="0.2">
      <c r="B580" s="47" t="str">
        <f>C583&amp;" vs "&amp;D583</f>
        <v>2021 Actual vs 2022 Actual</v>
      </c>
    </row>
    <row r="581" spans="2:13" x14ac:dyDescent="0.2">
      <c r="J581" s="156" t="s">
        <v>224</v>
      </c>
      <c r="K581" s="157">
        <f>+L428</f>
        <v>0.99755830558131042</v>
      </c>
    </row>
    <row r="582" spans="2:13" x14ac:dyDescent="0.2">
      <c r="B582" s="249" t="s">
        <v>208</v>
      </c>
      <c r="C582" s="247" t="s">
        <v>220</v>
      </c>
      <c r="D582" s="248"/>
      <c r="E582" s="249" t="s">
        <v>221</v>
      </c>
      <c r="F582" s="247" t="s">
        <v>222</v>
      </c>
      <c r="G582" s="248"/>
      <c r="H582" s="247" t="s">
        <v>226</v>
      </c>
      <c r="I582" s="248"/>
      <c r="J582" s="247" t="s">
        <v>223</v>
      </c>
      <c r="K582" s="248"/>
      <c r="L582" s="247" t="s">
        <v>225</v>
      </c>
      <c r="M582" s="248"/>
    </row>
    <row r="583" spans="2:13" x14ac:dyDescent="0.2">
      <c r="B583" s="249" t="s">
        <v>208</v>
      </c>
      <c r="C583" s="153" t="s">
        <v>154</v>
      </c>
      <c r="D583" s="153" t="s">
        <v>155</v>
      </c>
      <c r="E583" s="249" t="s">
        <v>215</v>
      </c>
      <c r="F583" s="153" t="str">
        <f>+C583</f>
        <v>2021 Actual</v>
      </c>
      <c r="G583" s="153" t="str">
        <f>+D583</f>
        <v>2022 Actual</v>
      </c>
      <c r="H583" s="153" t="str">
        <f>+F583</f>
        <v>2021 Actual</v>
      </c>
      <c r="I583" s="153" t="str">
        <f>+G583</f>
        <v>2022 Actual</v>
      </c>
      <c r="J583" s="153" t="str">
        <f t="shared" ref="J583" si="440">+H583</f>
        <v>2021 Actual</v>
      </c>
      <c r="K583" s="153" t="str">
        <f t="shared" ref="K583" si="441">+I583</f>
        <v>2022 Actual</v>
      </c>
      <c r="L583" s="153" t="str">
        <f t="shared" ref="L583" si="442">+J583</f>
        <v>2021 Actual</v>
      </c>
      <c r="M583" s="153" t="str">
        <f t="shared" ref="M583" si="443">+K583</f>
        <v>2022 Actual</v>
      </c>
    </row>
    <row r="584" spans="2:13" x14ac:dyDescent="0.2">
      <c r="B584" s="138" t="s">
        <v>100</v>
      </c>
      <c r="C584" s="57">
        <f>+D566</f>
        <v>11468.75</v>
      </c>
      <c r="D584" s="57" cm="1">
        <f t="array" ref="D584:D589">TRANSPOSE(C60:H60)</f>
        <v>11526.25</v>
      </c>
      <c r="E584" s="100" t="s">
        <v>61</v>
      </c>
      <c r="F584" s="100">
        <f>+G566</f>
        <v>95087325.556198344</v>
      </c>
      <c r="G584" s="100">
        <f>+L422</f>
        <v>95371627.720710099</v>
      </c>
      <c r="H584" s="100">
        <f>+I566</f>
        <v>95296564.253019243</v>
      </c>
      <c r="I584" s="100">
        <f>+G584*K$581</f>
        <v>95138759.349603102</v>
      </c>
      <c r="J584" s="100">
        <f>+F584/C584</f>
        <v>8290.9929640281935</v>
      </c>
      <c r="K584" s="100">
        <f t="shared" ref="K584:K589" si="444">+G584/D584</f>
        <v>8274.2980345481046</v>
      </c>
      <c r="L584" s="100">
        <f>+H584/C584</f>
        <v>8309.2372100725224</v>
      </c>
      <c r="M584" s="100">
        <f>+I584/D584</f>
        <v>8254.0947272185749</v>
      </c>
    </row>
    <row r="585" spans="2:13" x14ac:dyDescent="0.2">
      <c r="B585" s="138" t="s">
        <v>216</v>
      </c>
      <c r="C585" s="57">
        <f t="shared" ref="C585:C589" si="445">+D567</f>
        <v>1166.5833333333333</v>
      </c>
      <c r="D585" s="57">
        <v>1166.5</v>
      </c>
      <c r="E585" s="100" t="s">
        <v>61</v>
      </c>
      <c r="F585" s="100">
        <f t="shared" ref="F585:F589" si="446">+G567</f>
        <v>33533529.262311421</v>
      </c>
      <c r="G585" s="100">
        <f t="shared" ref="G585:G589" si="447">+L423</f>
        <v>35235863.474724725</v>
      </c>
      <c r="H585" s="100">
        <f t="shared" ref="H585:H589" si="448">+I567</f>
        <v>33607319.45381812</v>
      </c>
      <c r="I585" s="100">
        <f>+G585*K$581</f>
        <v>35149828.263540782</v>
      </c>
      <c r="J585" s="100">
        <f t="shared" ref="J585:J589" si="449">+F585/C585</f>
        <v>28745.078301859925</v>
      </c>
      <c r="K585" s="100">
        <f t="shared" si="444"/>
        <v>30206.483904607565</v>
      </c>
      <c r="L585" s="100">
        <f t="shared" ref="L585:L589" si="450">+H585/C585</f>
        <v>28808.331555526642</v>
      </c>
      <c r="M585" s="100">
        <f t="shared" ref="M585:M589" si="451">+I585/D585</f>
        <v>30132.728901449449</v>
      </c>
    </row>
    <row r="586" spans="2:13" x14ac:dyDescent="0.2">
      <c r="B586" s="138" t="s">
        <v>120</v>
      </c>
      <c r="C586" s="57">
        <f t="shared" si="445"/>
        <v>126</v>
      </c>
      <c r="D586" s="57">
        <v>125.75</v>
      </c>
      <c r="E586" s="155" t="s">
        <v>62</v>
      </c>
      <c r="F586" s="100">
        <f t="shared" si="446"/>
        <v>301675.62</v>
      </c>
      <c r="G586" s="100">
        <f t="shared" si="447"/>
        <v>317681.46000000008</v>
      </c>
      <c r="H586" s="100">
        <f t="shared" si="448"/>
        <v>301675.62</v>
      </c>
      <c r="I586" s="100">
        <f t="shared" ref="I586:I587" si="452">+G586</f>
        <v>317681.46000000008</v>
      </c>
      <c r="J586" s="100">
        <f t="shared" si="449"/>
        <v>2394.2509523809522</v>
      </c>
      <c r="K586" s="100">
        <f t="shared" si="444"/>
        <v>2526.2939165009948</v>
      </c>
      <c r="L586" s="100">
        <f t="shared" si="450"/>
        <v>2394.2509523809522</v>
      </c>
      <c r="M586" s="100">
        <f t="shared" si="451"/>
        <v>2526.2939165009948</v>
      </c>
    </row>
    <row r="587" spans="2:13" x14ac:dyDescent="0.2">
      <c r="B587" s="138" t="s">
        <v>114</v>
      </c>
      <c r="C587" s="57">
        <f t="shared" si="445"/>
        <v>2965.9166666666665</v>
      </c>
      <c r="D587" s="57">
        <v>2985</v>
      </c>
      <c r="E587" s="155" t="s">
        <v>62</v>
      </c>
      <c r="F587" s="100">
        <f t="shared" si="446"/>
        <v>2420.3500000000004</v>
      </c>
      <c r="G587" s="100">
        <f t="shared" si="447"/>
        <v>2434.08</v>
      </c>
      <c r="H587" s="100">
        <f t="shared" si="448"/>
        <v>2420.3500000000004</v>
      </c>
      <c r="I587" s="100">
        <f t="shared" si="452"/>
        <v>2434.08</v>
      </c>
      <c r="J587" s="100">
        <f t="shared" si="449"/>
        <v>0.81605462055013922</v>
      </c>
      <c r="K587" s="100">
        <f t="shared" si="444"/>
        <v>0.8154371859296482</v>
      </c>
      <c r="L587" s="100">
        <f t="shared" si="450"/>
        <v>0.81605462055013922</v>
      </c>
      <c r="M587" s="100">
        <f t="shared" si="451"/>
        <v>0.8154371859296482</v>
      </c>
    </row>
    <row r="588" spans="2:13" x14ac:dyDescent="0.2">
      <c r="B588" s="138" t="s">
        <v>68</v>
      </c>
      <c r="C588" s="57">
        <f t="shared" si="445"/>
        <v>158</v>
      </c>
      <c r="D588" s="57">
        <v>157.25</v>
      </c>
      <c r="E588" s="155" t="s">
        <v>62</v>
      </c>
      <c r="F588" s="100">
        <f t="shared" si="446"/>
        <v>282</v>
      </c>
      <c r="G588" s="100">
        <f t="shared" si="447"/>
        <v>278.2</v>
      </c>
      <c r="H588" s="100">
        <f t="shared" si="448"/>
        <v>282</v>
      </c>
      <c r="I588" s="100">
        <f>+G588</f>
        <v>278.2</v>
      </c>
      <c r="J588" s="100">
        <f t="shared" si="449"/>
        <v>1.7848101265822784</v>
      </c>
      <c r="K588" s="100">
        <f t="shared" si="444"/>
        <v>1.7691573926868043</v>
      </c>
      <c r="L588" s="100">
        <f t="shared" si="450"/>
        <v>1.7848101265822784</v>
      </c>
      <c r="M588" s="100">
        <f t="shared" si="451"/>
        <v>1.7691573926868043</v>
      </c>
    </row>
    <row r="589" spans="2:13" x14ac:dyDescent="0.2">
      <c r="B589" s="138" t="s">
        <v>169</v>
      </c>
      <c r="C589" s="57">
        <f t="shared" si="445"/>
        <v>98</v>
      </c>
      <c r="D589" s="57">
        <v>98</v>
      </c>
      <c r="E589" s="155" t="s">
        <v>61</v>
      </c>
      <c r="F589" s="100">
        <f t="shared" si="446"/>
        <v>375339.18519225245</v>
      </c>
      <c r="G589" s="100">
        <f t="shared" si="447"/>
        <v>375339.18519225251</v>
      </c>
      <c r="H589" s="100">
        <f t="shared" si="448"/>
        <v>376165.11526774947</v>
      </c>
      <c r="I589" s="100">
        <f>+G589*K$581</f>
        <v>374422.72159865306</v>
      </c>
      <c r="J589" s="100">
        <f t="shared" si="449"/>
        <v>3829.9916856352293</v>
      </c>
      <c r="K589" s="100">
        <f t="shared" si="444"/>
        <v>3829.9916856352297</v>
      </c>
      <c r="L589" s="100">
        <f t="shared" si="450"/>
        <v>3838.4195435484639</v>
      </c>
      <c r="M589" s="100">
        <f t="shared" si="451"/>
        <v>3820.6400163127864</v>
      </c>
    </row>
    <row r="590" spans="2:13" x14ac:dyDescent="0.2">
      <c r="B590" s="153" t="s">
        <v>209</v>
      </c>
      <c r="C590" s="153" t="s">
        <v>228</v>
      </c>
      <c r="D590" s="153" t="s">
        <v>229</v>
      </c>
      <c r="E590" s="153"/>
      <c r="F590" s="153" t="s">
        <v>222</v>
      </c>
      <c r="G590" s="153" t="s">
        <v>229</v>
      </c>
      <c r="H590" s="153" t="str">
        <f>+F590</f>
        <v>Volume</v>
      </c>
      <c r="I590" s="153" t="str">
        <f>+G590</f>
        <v>%</v>
      </c>
      <c r="J590" s="153" t="str">
        <f t="shared" ref="J590" si="453">+H590</f>
        <v>Volume</v>
      </c>
      <c r="K590" s="153" t="str">
        <f t="shared" ref="K590" si="454">+I590</f>
        <v>%</v>
      </c>
      <c r="L590" s="153" t="str">
        <f t="shared" ref="L590" si="455">+J590</f>
        <v>Volume</v>
      </c>
      <c r="M590" s="153" t="str">
        <f t="shared" ref="M590" si="456">+K590</f>
        <v>%</v>
      </c>
    </row>
    <row r="591" spans="2:13" x14ac:dyDescent="0.2">
      <c r="B591" s="139" t="str">
        <f>+B584</f>
        <v>Residential</v>
      </c>
      <c r="C591" s="100">
        <f>+D584-C584</f>
        <v>57.5</v>
      </c>
      <c r="D591" s="101">
        <f>(D584-C584)/C584</f>
        <v>5.0136239782016352E-3</v>
      </c>
      <c r="E591" s="100" t="str">
        <f>+E584</f>
        <v>kWh</v>
      </c>
      <c r="F591" s="100">
        <f t="shared" ref="F591:F596" si="457">+G584-F584</f>
        <v>284302.16451175511</v>
      </c>
      <c r="G591" s="101">
        <f t="shared" ref="G591:G596" si="458">(G584-F584)/F584</f>
        <v>2.9899059927153736E-3</v>
      </c>
      <c r="H591" s="100">
        <f t="shared" ref="H591:H596" si="459">+I584-H584</f>
        <v>-157804.90341614187</v>
      </c>
      <c r="I591" s="101">
        <f t="shared" ref="I591:I596" si="460">(I584-H584)/H584</f>
        <v>-1.655934866624976E-3</v>
      </c>
      <c r="J591" s="100">
        <f t="shared" ref="J591:J596" si="461">+K584-J584</f>
        <v>-16.694929480088831</v>
      </c>
      <c r="K591" s="101">
        <f t="shared" ref="K591:K596" si="462">(K584-J584)/J584</f>
        <v>-2.0136224397394216E-3</v>
      </c>
      <c r="L591" s="100">
        <f t="shared" ref="L591:L596" si="463">+M584-L584</f>
        <v>-55.142482853947513</v>
      </c>
      <c r="M591" s="101">
        <f t="shared" ref="M591:M596" si="464">(M584-L584)/L584</f>
        <v>-6.6362869972111712E-3</v>
      </c>
    </row>
    <row r="592" spans="2:13" x14ac:dyDescent="0.2">
      <c r="B592" s="139" t="str">
        <f t="shared" ref="B592:B596" si="465">+B585</f>
        <v>GS&lt;50 kW</v>
      </c>
      <c r="C592" s="100">
        <f t="shared" ref="C592:C596" si="466">+D585-C585</f>
        <v>-8.3333333333257542E-2</v>
      </c>
      <c r="D592" s="101">
        <f t="shared" ref="D592:D596" si="467">(D585-C585)/C585</f>
        <v>-7.143367383378031E-5</v>
      </c>
      <c r="E592" s="100" t="str">
        <f t="shared" ref="E592:E596" si="468">+E585</f>
        <v>kWh</v>
      </c>
      <c r="F592" s="100">
        <f t="shared" si="457"/>
        <v>1702334.2124133036</v>
      </c>
      <c r="G592" s="101">
        <f t="shared" si="458"/>
        <v>5.0765137158604104E-2</v>
      </c>
      <c r="H592" s="100">
        <f t="shared" si="459"/>
        <v>1542508.809722662</v>
      </c>
      <c r="I592" s="101">
        <f t="shared" si="460"/>
        <v>4.5898001827914835E-2</v>
      </c>
      <c r="J592" s="100">
        <f t="shared" si="461"/>
        <v>1461.4056027476399</v>
      </c>
      <c r="K592" s="101">
        <f t="shared" si="462"/>
        <v>5.0840202534883368E-2</v>
      </c>
      <c r="L592" s="100">
        <f t="shared" si="463"/>
        <v>1324.3973459228073</v>
      </c>
      <c r="M592" s="101">
        <f t="shared" si="464"/>
        <v>4.5972719501998806E-2</v>
      </c>
    </row>
    <row r="593" spans="2:13" x14ac:dyDescent="0.2">
      <c r="B593" s="139" t="str">
        <f t="shared" si="465"/>
        <v>GS&gt;50 kW</v>
      </c>
      <c r="C593" s="100">
        <f t="shared" si="466"/>
        <v>-0.25</v>
      </c>
      <c r="D593" s="101">
        <f t="shared" si="467"/>
        <v>-1.984126984126984E-3</v>
      </c>
      <c r="E593" s="155" t="str">
        <f t="shared" si="468"/>
        <v>kW</v>
      </c>
      <c r="F593" s="100">
        <f t="shared" si="457"/>
        <v>16005.840000000084</v>
      </c>
      <c r="G593" s="101">
        <f t="shared" si="458"/>
        <v>5.3056458456934914E-2</v>
      </c>
      <c r="H593" s="100">
        <f t="shared" si="459"/>
        <v>16005.840000000084</v>
      </c>
      <c r="I593" s="101">
        <f t="shared" si="460"/>
        <v>5.3056458456934914E-2</v>
      </c>
      <c r="J593" s="100">
        <f t="shared" si="461"/>
        <v>132.0429641200426</v>
      </c>
      <c r="K593" s="101">
        <f t="shared" si="462"/>
        <v>5.5150010064205286E-2</v>
      </c>
      <c r="L593" s="100">
        <f t="shared" si="463"/>
        <v>132.0429641200426</v>
      </c>
      <c r="M593" s="101">
        <f t="shared" si="464"/>
        <v>5.5150010064205286E-2</v>
      </c>
    </row>
    <row r="594" spans="2:13" x14ac:dyDescent="0.2">
      <c r="B594" s="139" t="str">
        <f t="shared" si="465"/>
        <v>Street Lighting</v>
      </c>
      <c r="C594" s="100">
        <f t="shared" si="466"/>
        <v>19.083333333333485</v>
      </c>
      <c r="D594" s="101">
        <f t="shared" si="467"/>
        <v>6.4342108960130885E-3</v>
      </c>
      <c r="E594" s="155" t="str">
        <f t="shared" si="468"/>
        <v>kW</v>
      </c>
      <c r="F594" s="100">
        <f t="shared" si="457"/>
        <v>13.729999999999563</v>
      </c>
      <c r="G594" s="101">
        <f t="shared" si="458"/>
        <v>5.6727332823763342E-3</v>
      </c>
      <c r="H594" s="100">
        <f t="shared" si="459"/>
        <v>13.729999999999563</v>
      </c>
      <c r="I594" s="101">
        <f t="shared" si="460"/>
        <v>5.6727332823763342E-3</v>
      </c>
      <c r="J594" s="100">
        <f t="shared" si="461"/>
        <v>-6.1743462049101971E-4</v>
      </c>
      <c r="K594" s="101">
        <f t="shared" si="462"/>
        <v>-7.5660942900461633E-4</v>
      </c>
      <c r="L594" s="100">
        <f t="shared" si="463"/>
        <v>-6.1743462049101971E-4</v>
      </c>
      <c r="M594" s="101">
        <f t="shared" si="464"/>
        <v>-7.5660942900461633E-4</v>
      </c>
    </row>
    <row r="595" spans="2:13" x14ac:dyDescent="0.2">
      <c r="B595" s="139" t="str">
        <f t="shared" si="465"/>
        <v>Sentinel Lights</v>
      </c>
      <c r="C595" s="100">
        <f t="shared" si="466"/>
        <v>-0.75</v>
      </c>
      <c r="D595" s="101">
        <f t="shared" si="467"/>
        <v>-4.7468354430379748E-3</v>
      </c>
      <c r="E595" s="155" t="str">
        <f t="shared" si="468"/>
        <v>kW</v>
      </c>
      <c r="F595" s="100">
        <f t="shared" si="457"/>
        <v>-3.8000000000000114</v>
      </c>
      <c r="G595" s="101">
        <f t="shared" si="458"/>
        <v>-1.3475177304964579E-2</v>
      </c>
      <c r="H595" s="100">
        <f t="shared" si="459"/>
        <v>-3.8000000000000114</v>
      </c>
      <c r="I595" s="101">
        <f t="shared" si="460"/>
        <v>-1.3475177304964579E-2</v>
      </c>
      <c r="J595" s="100">
        <f t="shared" si="461"/>
        <v>-1.5652733895474169E-2</v>
      </c>
      <c r="K595" s="101">
        <f t="shared" si="462"/>
        <v>-8.7699714733507749E-3</v>
      </c>
      <c r="L595" s="100">
        <f t="shared" si="463"/>
        <v>-1.5652733895474169E-2</v>
      </c>
      <c r="M595" s="101">
        <f t="shared" si="464"/>
        <v>-8.7699714733507749E-3</v>
      </c>
    </row>
    <row r="596" spans="2:13" x14ac:dyDescent="0.2">
      <c r="B596" s="139" t="str">
        <f t="shared" si="465"/>
        <v>USL</v>
      </c>
      <c r="C596" s="100">
        <f t="shared" si="466"/>
        <v>0</v>
      </c>
      <c r="D596" s="101">
        <f t="shared" si="467"/>
        <v>0</v>
      </c>
      <c r="E596" s="155" t="str">
        <f t="shared" si="468"/>
        <v>kWh</v>
      </c>
      <c r="F596" s="100">
        <f t="shared" si="457"/>
        <v>0</v>
      </c>
      <c r="G596" s="101">
        <f t="shared" si="458"/>
        <v>1.5508016005217486E-16</v>
      </c>
      <c r="H596" s="100">
        <f t="shared" si="459"/>
        <v>-1742.3936690964038</v>
      </c>
      <c r="I596" s="101">
        <f t="shared" si="460"/>
        <v>-4.6319916397781612E-3</v>
      </c>
      <c r="J596" s="100">
        <f t="shared" si="461"/>
        <v>0</v>
      </c>
      <c r="K596" s="101">
        <f t="shared" si="462"/>
        <v>1.1873324753994635E-16</v>
      </c>
      <c r="L596" s="100">
        <f t="shared" si="463"/>
        <v>-17.779527235677506</v>
      </c>
      <c r="M596" s="101">
        <f t="shared" si="464"/>
        <v>-4.6319916397781396E-3</v>
      </c>
    </row>
    <row r="598" spans="2:13" x14ac:dyDescent="0.2">
      <c r="B598" s="47" t="str">
        <f>C601&amp;" vs "&amp;D601</f>
        <v>2022 Actual vs 2023 Bridge</v>
      </c>
    </row>
    <row r="599" spans="2:13" x14ac:dyDescent="0.2">
      <c r="J599" s="156"/>
      <c r="K599" s="157"/>
    </row>
    <row r="600" spans="2:13" x14ac:dyDescent="0.2">
      <c r="B600" s="249" t="s">
        <v>208</v>
      </c>
      <c r="C600" s="247" t="s">
        <v>220</v>
      </c>
      <c r="D600" s="248"/>
      <c r="E600" s="249" t="s">
        <v>221</v>
      </c>
      <c r="F600" s="247" t="s">
        <v>222</v>
      </c>
      <c r="G600" s="248"/>
      <c r="H600" s="247" t="s">
        <v>226</v>
      </c>
      <c r="I600" s="248"/>
      <c r="J600" s="247" t="s">
        <v>223</v>
      </c>
      <c r="K600" s="248"/>
      <c r="L600" s="247" t="s">
        <v>225</v>
      </c>
      <c r="M600" s="248"/>
    </row>
    <row r="601" spans="2:13" x14ac:dyDescent="0.2">
      <c r="B601" s="249" t="s">
        <v>208</v>
      </c>
      <c r="C601" s="153" t="s">
        <v>155</v>
      </c>
      <c r="D601" s="153" t="s">
        <v>156</v>
      </c>
      <c r="E601" s="249" t="s">
        <v>215</v>
      </c>
      <c r="F601" s="153" t="str">
        <f>+C601</f>
        <v>2022 Actual</v>
      </c>
      <c r="G601" s="153" t="str">
        <f>+D601</f>
        <v>2023 Bridge</v>
      </c>
      <c r="H601" s="153" t="str">
        <f>+F601</f>
        <v>2022 Actual</v>
      </c>
      <c r="I601" s="153" t="str">
        <f>+G601</f>
        <v>2023 Bridge</v>
      </c>
      <c r="J601" s="153" t="str">
        <f t="shared" ref="J601" si="469">+H601</f>
        <v>2022 Actual</v>
      </c>
      <c r="K601" s="153" t="str">
        <f t="shared" ref="K601" si="470">+I601</f>
        <v>2023 Bridge</v>
      </c>
      <c r="L601" s="153" t="str">
        <f t="shared" ref="L601" si="471">+J601</f>
        <v>2022 Actual</v>
      </c>
      <c r="M601" s="153" t="str">
        <f t="shared" ref="M601" si="472">+K601</f>
        <v>2023 Bridge</v>
      </c>
    </row>
    <row r="602" spans="2:13" x14ac:dyDescent="0.2">
      <c r="B602" s="138" t="s">
        <v>100</v>
      </c>
      <c r="C602" s="57">
        <f>+D584</f>
        <v>11526.25</v>
      </c>
      <c r="D602" s="57" cm="1">
        <f t="array" ref="D602:D607">TRANSPOSE(C61:H61)</f>
        <v>11612.666666666666</v>
      </c>
      <c r="E602" s="100" t="s">
        <v>61</v>
      </c>
      <c r="F602" s="100">
        <f>+G584</f>
        <v>95371627.720710099</v>
      </c>
      <c r="G602" s="100">
        <f>+I602</f>
        <v>91628868.162093714</v>
      </c>
      <c r="H602" s="100">
        <f>+I584</f>
        <v>95138759.349603102</v>
      </c>
      <c r="I602" s="158">
        <f>+'Rate Class Energy Model'!H32</f>
        <v>91628868.162093714</v>
      </c>
      <c r="J602" s="100">
        <f>+F602/C602</f>
        <v>8274.2980345481046</v>
      </c>
      <c r="K602" s="100">
        <f t="shared" ref="K602:K607" si="473">+G602/D602</f>
        <v>7890.4243781583664</v>
      </c>
      <c r="L602" s="100">
        <f>+H602/C602</f>
        <v>8254.0947272185749</v>
      </c>
      <c r="M602" s="100">
        <f>+I602/D602</f>
        <v>7890.4243781583664</v>
      </c>
    </row>
    <row r="603" spans="2:13" x14ac:dyDescent="0.2">
      <c r="B603" s="138" t="s">
        <v>216</v>
      </c>
      <c r="C603" s="57">
        <f t="shared" ref="C603:C607" si="474">+D585</f>
        <v>1166.5</v>
      </c>
      <c r="D603" s="57">
        <v>1164.25</v>
      </c>
      <c r="E603" s="100" t="s">
        <v>61</v>
      </c>
      <c r="F603" s="100">
        <f t="shared" ref="F603:F607" si="475">+G585</f>
        <v>35235863.474724725</v>
      </c>
      <c r="G603" s="100">
        <f>+I603</f>
        <v>33536336.924245115</v>
      </c>
      <c r="H603" s="100">
        <f t="shared" ref="H603:H607" si="476">+I585</f>
        <v>35149828.263540782</v>
      </c>
      <c r="I603" s="158">
        <f>+'Rate Class Energy Model'!I32</f>
        <v>33536336.924245115</v>
      </c>
      <c r="J603" s="100">
        <f t="shared" ref="J603:J607" si="477">+F603/C603</f>
        <v>30206.483904607565</v>
      </c>
      <c r="K603" s="100">
        <f t="shared" si="473"/>
        <v>28805.099355160073</v>
      </c>
      <c r="L603" s="100">
        <f t="shared" ref="L603:L607" si="478">+H603/C603</f>
        <v>30132.728901449449</v>
      </c>
      <c r="M603" s="100">
        <f t="shared" ref="M603:M607" si="479">+I603/D603</f>
        <v>28805.099355160073</v>
      </c>
    </row>
    <row r="604" spans="2:13" x14ac:dyDescent="0.2">
      <c r="B604" s="138" t="s">
        <v>120</v>
      </c>
      <c r="C604" s="57">
        <f t="shared" si="474"/>
        <v>125.75</v>
      </c>
      <c r="D604" s="57">
        <v>126</v>
      </c>
      <c r="E604" s="155" t="s">
        <v>62</v>
      </c>
      <c r="F604" s="100">
        <f t="shared" si="475"/>
        <v>317681.46000000008</v>
      </c>
      <c r="G604" s="100">
        <f t="shared" ref="G604:G607" si="480">+M424</f>
        <v>312524.7633633946</v>
      </c>
      <c r="H604" s="100">
        <f t="shared" si="476"/>
        <v>317681.46000000008</v>
      </c>
      <c r="I604" s="158">
        <f t="shared" ref="I604:I605" si="481">+G604</f>
        <v>312524.7633633946</v>
      </c>
      <c r="J604" s="100">
        <f t="shared" si="477"/>
        <v>2526.2939165009948</v>
      </c>
      <c r="K604" s="100">
        <f t="shared" si="473"/>
        <v>2480.3552647888459</v>
      </c>
      <c r="L604" s="100">
        <f t="shared" si="478"/>
        <v>2526.2939165009948</v>
      </c>
      <c r="M604" s="100">
        <f t="shared" si="479"/>
        <v>2480.3552647888459</v>
      </c>
    </row>
    <row r="605" spans="2:13" x14ac:dyDescent="0.2">
      <c r="B605" s="138" t="s">
        <v>114</v>
      </c>
      <c r="C605" s="57">
        <f t="shared" si="474"/>
        <v>2985</v>
      </c>
      <c r="D605" s="57">
        <v>2963</v>
      </c>
      <c r="E605" s="155" t="s">
        <v>62</v>
      </c>
      <c r="F605" s="100">
        <f t="shared" si="475"/>
        <v>2434.08</v>
      </c>
      <c r="G605" s="100">
        <f t="shared" si="480"/>
        <v>2436.1070625659263</v>
      </c>
      <c r="H605" s="100">
        <f t="shared" si="476"/>
        <v>2434.08</v>
      </c>
      <c r="I605" s="158">
        <f t="shared" si="481"/>
        <v>2436.1070625659263</v>
      </c>
      <c r="J605" s="100">
        <f t="shared" si="477"/>
        <v>0.8154371859296482</v>
      </c>
      <c r="K605" s="100">
        <f t="shared" si="473"/>
        <v>0.82217585641779489</v>
      </c>
      <c r="L605" s="100">
        <f t="shared" si="478"/>
        <v>0.8154371859296482</v>
      </c>
      <c r="M605" s="100">
        <f t="shared" si="479"/>
        <v>0.82217585641779489</v>
      </c>
    </row>
    <row r="606" spans="2:13" x14ac:dyDescent="0.2">
      <c r="B606" s="138" t="s">
        <v>68</v>
      </c>
      <c r="C606" s="57">
        <f t="shared" si="474"/>
        <v>157.25</v>
      </c>
      <c r="D606" s="57">
        <v>157</v>
      </c>
      <c r="E606" s="155" t="s">
        <v>62</v>
      </c>
      <c r="F606" s="100">
        <f t="shared" si="475"/>
        <v>278.2</v>
      </c>
      <c r="G606" s="100">
        <f t="shared" si="480"/>
        <v>276.80983328597222</v>
      </c>
      <c r="H606" s="100">
        <f t="shared" si="476"/>
        <v>278.2</v>
      </c>
      <c r="I606" s="158">
        <f>+G606</f>
        <v>276.80983328597222</v>
      </c>
      <c r="J606" s="100">
        <f t="shared" si="477"/>
        <v>1.7691573926868043</v>
      </c>
      <c r="K606" s="100">
        <f t="shared" si="473"/>
        <v>1.7631199572354919</v>
      </c>
      <c r="L606" s="100">
        <f t="shared" si="478"/>
        <v>1.7691573926868043</v>
      </c>
      <c r="M606" s="100">
        <f t="shared" si="479"/>
        <v>1.7631199572354919</v>
      </c>
    </row>
    <row r="607" spans="2:13" x14ac:dyDescent="0.2">
      <c r="B607" s="138" t="s">
        <v>169</v>
      </c>
      <c r="C607" s="57">
        <f t="shared" si="474"/>
        <v>98</v>
      </c>
      <c r="D607" s="57">
        <v>97</v>
      </c>
      <c r="E607" s="155" t="s">
        <v>61</v>
      </c>
      <c r="F607" s="100">
        <f t="shared" si="475"/>
        <v>375339.18519225251</v>
      </c>
      <c r="G607" s="100">
        <f t="shared" si="480"/>
        <v>371509.19350661727</v>
      </c>
      <c r="H607" s="100">
        <f t="shared" si="476"/>
        <v>374422.72159865306</v>
      </c>
      <c r="I607" s="158">
        <f>+'Rate Class Energy Model'!M32</f>
        <v>371509.19350661727</v>
      </c>
      <c r="J607" s="100">
        <f t="shared" si="477"/>
        <v>3829.9916856352297</v>
      </c>
      <c r="K607" s="100">
        <f t="shared" si="473"/>
        <v>3829.9916856352297</v>
      </c>
      <c r="L607" s="100">
        <f t="shared" si="478"/>
        <v>3820.6400163127864</v>
      </c>
      <c r="M607" s="100">
        <f t="shared" si="479"/>
        <v>3829.9916856352297</v>
      </c>
    </row>
    <row r="608" spans="2:13" x14ac:dyDescent="0.2">
      <c r="B608" s="153" t="s">
        <v>209</v>
      </c>
      <c r="C608" s="153" t="s">
        <v>228</v>
      </c>
      <c r="D608" s="153" t="s">
        <v>229</v>
      </c>
      <c r="E608" s="153"/>
      <c r="F608" s="153" t="s">
        <v>222</v>
      </c>
      <c r="G608" s="153" t="s">
        <v>229</v>
      </c>
      <c r="H608" s="153" t="str">
        <f>+F608</f>
        <v>Volume</v>
      </c>
      <c r="I608" s="153" t="str">
        <f>+G608</f>
        <v>%</v>
      </c>
      <c r="J608" s="153" t="str">
        <f t="shared" ref="J608" si="482">+H608</f>
        <v>Volume</v>
      </c>
      <c r="K608" s="153" t="str">
        <f t="shared" ref="K608" si="483">+I608</f>
        <v>%</v>
      </c>
      <c r="L608" s="153" t="str">
        <f t="shared" ref="L608" si="484">+J608</f>
        <v>Volume</v>
      </c>
      <c r="M608" s="153" t="str">
        <f t="shared" ref="M608" si="485">+K608</f>
        <v>%</v>
      </c>
    </row>
    <row r="609" spans="2:13" x14ac:dyDescent="0.2">
      <c r="B609" s="139" t="str">
        <f>+B602</f>
        <v>Residential</v>
      </c>
      <c r="C609" s="100">
        <f>+D602-C602</f>
        <v>86.41666666666606</v>
      </c>
      <c r="D609" s="101">
        <f>(D602-C602)/C602</f>
        <v>7.4973791707334181E-3</v>
      </c>
      <c r="E609" s="100" t="str">
        <f>+E602</f>
        <v>kWh</v>
      </c>
      <c r="F609" s="100">
        <f t="shared" ref="F609:F614" si="486">+G602-F602</f>
        <v>-3742759.5586163849</v>
      </c>
      <c r="G609" s="101">
        <f t="shared" ref="G609:G614" si="487">(G602-F602)/F602</f>
        <v>-3.924395177124191E-2</v>
      </c>
      <c r="H609" s="100">
        <f t="shared" ref="H609:H614" si="488">+I602-H602</f>
        <v>-3509891.1875093877</v>
      </c>
      <c r="I609" s="101">
        <f t="shared" ref="I609:I614" si="489">(I602-H602)/H602</f>
        <v>-3.6892337166303718E-2</v>
      </c>
      <c r="J609" s="100">
        <f t="shared" ref="J609:J614" si="490">+K602-J602</f>
        <v>-383.87365638973824</v>
      </c>
      <c r="K609" s="101">
        <f t="shared" ref="K609:K614" si="491">(K602-J602)/J602</f>
        <v>-4.6393501271882E-2</v>
      </c>
      <c r="L609" s="100">
        <f t="shared" ref="L609:L614" si="492">+M602-L602</f>
        <v>-363.67034906020854</v>
      </c>
      <c r="M609" s="101">
        <f t="shared" ref="M609:M614" si="493">(M602-L602)/L602</f>
        <v>-4.4059386411083319E-2</v>
      </c>
    </row>
    <row r="610" spans="2:13" x14ac:dyDescent="0.2">
      <c r="B610" s="139" t="str">
        <f t="shared" ref="B610:B614" si="494">+B603</f>
        <v>GS&lt;50 kW</v>
      </c>
      <c r="C610" s="100">
        <f t="shared" ref="C610:C614" si="495">+D603-C603</f>
        <v>-2.25</v>
      </c>
      <c r="D610" s="101">
        <f t="shared" ref="D610:D614" si="496">(D603-C603)/C603</f>
        <v>-1.9288469781397343E-3</v>
      </c>
      <c r="E610" s="100" t="str">
        <f t="shared" ref="E610:E614" si="497">+E603</f>
        <v>kWh</v>
      </c>
      <c r="F610" s="100">
        <f t="shared" si="486"/>
        <v>-1699526.5504796095</v>
      </c>
      <c r="G610" s="101">
        <f t="shared" si="487"/>
        <v>-4.8232862285288065E-2</v>
      </c>
      <c r="H610" s="100">
        <f t="shared" si="488"/>
        <v>-1613491.3392956667</v>
      </c>
      <c r="I610" s="101">
        <f t="shared" si="489"/>
        <v>-4.5903249574885216E-2</v>
      </c>
      <c r="J610" s="100">
        <f t="shared" si="490"/>
        <v>-1401.3845494474917</v>
      </c>
      <c r="K610" s="101">
        <f t="shared" si="491"/>
        <v>-4.6393501271881916E-2</v>
      </c>
      <c r="L610" s="100">
        <f t="shared" si="492"/>
        <v>-1327.6295462893759</v>
      </c>
      <c r="M610" s="101">
        <f t="shared" si="493"/>
        <v>-4.4059386411083201E-2</v>
      </c>
    </row>
    <row r="611" spans="2:13" x14ac:dyDescent="0.2">
      <c r="B611" s="139" t="str">
        <f t="shared" si="494"/>
        <v>GS&gt;50 kW</v>
      </c>
      <c r="C611" s="100">
        <f t="shared" si="495"/>
        <v>0.25</v>
      </c>
      <c r="D611" s="101">
        <f t="shared" si="496"/>
        <v>1.9880715705765406E-3</v>
      </c>
      <c r="E611" s="155" t="str">
        <f t="shared" si="497"/>
        <v>kW</v>
      </c>
      <c r="F611" s="100">
        <f t="shared" si="486"/>
        <v>-5156.6966366054839</v>
      </c>
      <c r="G611" s="101">
        <f t="shared" si="487"/>
        <v>-1.6232287010408106E-2</v>
      </c>
      <c r="H611" s="100">
        <f t="shared" si="488"/>
        <v>-5156.6966366054839</v>
      </c>
      <c r="I611" s="101">
        <f t="shared" si="489"/>
        <v>-1.6232287010408106E-2</v>
      </c>
      <c r="J611" s="100">
        <f t="shared" si="490"/>
        <v>-45.93865171214884</v>
      </c>
      <c r="K611" s="101">
        <f t="shared" si="491"/>
        <v>-1.8184207075863712E-2</v>
      </c>
      <c r="L611" s="100">
        <f t="shared" si="492"/>
        <v>-45.93865171214884</v>
      </c>
      <c r="M611" s="101">
        <f t="shared" si="493"/>
        <v>-1.8184207075863712E-2</v>
      </c>
    </row>
    <row r="612" spans="2:13" x14ac:dyDescent="0.2">
      <c r="B612" s="139" t="str">
        <f t="shared" si="494"/>
        <v>Street Lighting</v>
      </c>
      <c r="C612" s="100">
        <f t="shared" si="495"/>
        <v>-22</v>
      </c>
      <c r="D612" s="101">
        <f t="shared" si="496"/>
        <v>-7.3701842546063647E-3</v>
      </c>
      <c r="E612" s="155" t="str">
        <f t="shared" si="497"/>
        <v>kW</v>
      </c>
      <c r="F612" s="100">
        <f t="shared" si="486"/>
        <v>2.0270625659263715</v>
      </c>
      <c r="G612" s="101">
        <f t="shared" si="487"/>
        <v>8.3278387149410521E-4</v>
      </c>
      <c r="H612" s="100">
        <f t="shared" si="488"/>
        <v>2.0270625659263715</v>
      </c>
      <c r="I612" s="101">
        <f t="shared" si="489"/>
        <v>8.3278387149410521E-4</v>
      </c>
      <c r="J612" s="100">
        <f t="shared" si="490"/>
        <v>6.7386704881466919E-3</v>
      </c>
      <c r="K612" s="101">
        <f t="shared" si="491"/>
        <v>8.2638744031083098E-3</v>
      </c>
      <c r="L612" s="100">
        <f t="shared" si="492"/>
        <v>6.7386704881466919E-3</v>
      </c>
      <c r="M612" s="101">
        <f t="shared" si="493"/>
        <v>8.2638744031083098E-3</v>
      </c>
    </row>
    <row r="613" spans="2:13" x14ac:dyDescent="0.2">
      <c r="B613" s="139" t="str">
        <f t="shared" si="494"/>
        <v>Sentinel Lights</v>
      </c>
      <c r="C613" s="100">
        <f t="shared" si="495"/>
        <v>-0.25</v>
      </c>
      <c r="D613" s="101">
        <f t="shared" si="496"/>
        <v>-1.589825119236884E-3</v>
      </c>
      <c r="E613" s="155" t="str">
        <f t="shared" si="497"/>
        <v>kW</v>
      </c>
      <c r="F613" s="100">
        <f t="shared" si="486"/>
        <v>-1.3901667140277709</v>
      </c>
      <c r="G613" s="101">
        <f t="shared" si="487"/>
        <v>-4.9970047233205287E-3</v>
      </c>
      <c r="H613" s="100">
        <f t="shared" si="488"/>
        <v>-1.3901667140277709</v>
      </c>
      <c r="I613" s="101">
        <f t="shared" si="489"/>
        <v>-4.9970047233205287E-3</v>
      </c>
      <c r="J613" s="100">
        <f t="shared" si="490"/>
        <v>-6.0374354513124118E-3</v>
      </c>
      <c r="K613" s="101">
        <f t="shared" si="491"/>
        <v>-3.4126050493130007E-3</v>
      </c>
      <c r="L613" s="100">
        <f t="shared" si="492"/>
        <v>-6.0374354513124118E-3</v>
      </c>
      <c r="M613" s="101">
        <f t="shared" si="493"/>
        <v>-3.4126050493130007E-3</v>
      </c>
    </row>
    <row r="614" spans="2:13" x14ac:dyDescent="0.2">
      <c r="B614" s="139" t="str">
        <f t="shared" si="494"/>
        <v>USL</v>
      </c>
      <c r="C614" s="100">
        <f t="shared" si="495"/>
        <v>-1</v>
      </c>
      <c r="D614" s="101">
        <f t="shared" si="496"/>
        <v>-1.020408163265306E-2</v>
      </c>
      <c r="E614" s="155" t="str">
        <f t="shared" si="497"/>
        <v>kWh</v>
      </c>
      <c r="F614" s="100">
        <f t="shared" si="486"/>
        <v>-3829.9916856352356</v>
      </c>
      <c r="G614" s="101">
        <f t="shared" si="487"/>
        <v>-1.0204081632653078E-2</v>
      </c>
      <c r="H614" s="100">
        <f t="shared" si="488"/>
        <v>-2913.5280920357909</v>
      </c>
      <c r="I614" s="101">
        <f t="shared" si="489"/>
        <v>-7.7813869831297976E-3</v>
      </c>
      <c r="J614" s="100">
        <f t="shared" si="490"/>
        <v>0</v>
      </c>
      <c r="K614" s="101">
        <f t="shared" si="491"/>
        <v>0</v>
      </c>
      <c r="L614" s="100">
        <f t="shared" si="492"/>
        <v>9.3516693224432856</v>
      </c>
      <c r="M614" s="101">
        <f t="shared" si="493"/>
        <v>2.4476708830235127E-3</v>
      </c>
    </row>
    <row r="616" spans="2:13" x14ac:dyDescent="0.2">
      <c r="B616" s="47" t="str">
        <f>C619&amp;" vs "&amp;D619</f>
        <v>2023 Bridge vs 2024 Test</v>
      </c>
    </row>
    <row r="617" spans="2:13" x14ac:dyDescent="0.2">
      <c r="J617" s="156"/>
      <c r="K617" s="157"/>
    </row>
    <row r="618" spans="2:13" x14ac:dyDescent="0.2">
      <c r="B618" s="249" t="s">
        <v>208</v>
      </c>
      <c r="C618" s="247" t="s">
        <v>220</v>
      </c>
      <c r="D618" s="248"/>
      <c r="E618" s="249" t="s">
        <v>221</v>
      </c>
      <c r="F618" s="247" t="s">
        <v>222</v>
      </c>
      <c r="G618" s="248"/>
      <c r="H618" s="247" t="s">
        <v>226</v>
      </c>
      <c r="I618" s="248"/>
      <c r="J618" s="247" t="s">
        <v>223</v>
      </c>
      <c r="K618" s="248"/>
      <c r="L618" s="247" t="s">
        <v>225</v>
      </c>
      <c r="M618" s="248"/>
    </row>
    <row r="619" spans="2:13" x14ac:dyDescent="0.2">
      <c r="B619" s="249" t="s">
        <v>208</v>
      </c>
      <c r="C619" s="153" t="s">
        <v>156</v>
      </c>
      <c r="D619" s="153" t="s">
        <v>157</v>
      </c>
      <c r="E619" s="249" t="s">
        <v>215</v>
      </c>
      <c r="F619" s="153" t="str">
        <f>+C619</f>
        <v>2023 Bridge</v>
      </c>
      <c r="G619" s="153" t="str">
        <f>+D619</f>
        <v>2024 Test</v>
      </c>
      <c r="H619" s="153" t="str">
        <f>+F619</f>
        <v>2023 Bridge</v>
      </c>
      <c r="I619" s="153" t="str">
        <f>+G619</f>
        <v>2024 Test</v>
      </c>
      <c r="J619" s="153" t="str">
        <f t="shared" ref="J619" si="498">+H619</f>
        <v>2023 Bridge</v>
      </c>
      <c r="K619" s="153" t="str">
        <f t="shared" ref="K619" si="499">+I619</f>
        <v>2024 Test</v>
      </c>
      <c r="L619" s="153" t="str">
        <f t="shared" ref="L619" si="500">+J619</f>
        <v>2023 Bridge</v>
      </c>
      <c r="M619" s="153" t="str">
        <f t="shared" ref="M619" si="501">+K619</f>
        <v>2024 Test</v>
      </c>
    </row>
    <row r="620" spans="2:13" x14ac:dyDescent="0.2">
      <c r="B620" s="138" t="s">
        <v>100</v>
      </c>
      <c r="C620" s="57">
        <f>+D602</f>
        <v>11612.666666666666</v>
      </c>
      <c r="D620" s="57" cm="1">
        <f t="array" ref="D620:D625">TRANSPOSE(C62:H62)</f>
        <v>11740.5</v>
      </c>
      <c r="E620" s="100" t="s">
        <v>61</v>
      </c>
      <c r="F620" s="100">
        <f>+G602</f>
        <v>91628868.162093714</v>
      </c>
      <c r="G620" s="100">
        <f>+I620</f>
        <v>94221374.619588077</v>
      </c>
      <c r="H620" s="100">
        <f>+I602</f>
        <v>91628868.162093714</v>
      </c>
      <c r="I620" s="158">
        <f>+'Rate Class Energy Model'!H33</f>
        <v>94221374.619588077</v>
      </c>
      <c r="J620" s="100">
        <f>+F620/C620</f>
        <v>7890.4243781583664</v>
      </c>
      <c r="K620" s="100">
        <f t="shared" ref="K620:K625" si="502">+G620/D620</f>
        <v>8025.3289569940016</v>
      </c>
      <c r="L620" s="100">
        <f>+H620/C620</f>
        <v>7890.4243781583664</v>
      </c>
      <c r="M620" s="100">
        <f>+I620/D620</f>
        <v>8025.3289569940016</v>
      </c>
    </row>
    <row r="621" spans="2:13" x14ac:dyDescent="0.2">
      <c r="B621" s="138" t="s">
        <v>216</v>
      </c>
      <c r="C621" s="57">
        <f t="shared" ref="C621:C625" si="503">+D603</f>
        <v>1164.25</v>
      </c>
      <c r="D621" s="57">
        <v>1168.4834481663743</v>
      </c>
      <c r="E621" s="100" t="s">
        <v>61</v>
      </c>
      <c r="F621" s="100">
        <f t="shared" ref="F621:F625" si="504">+G603</f>
        <v>33536336.924245115</v>
      </c>
      <c r="G621" s="100">
        <f>+I621</f>
        <v>34233745.966155298</v>
      </c>
      <c r="H621" s="100">
        <f t="shared" ref="H621:H625" si="505">+I603</f>
        <v>33536336.924245115</v>
      </c>
      <c r="I621" s="158">
        <f>+'Rate Class Energy Model'!I33</f>
        <v>34233745.966155298</v>
      </c>
      <c r="J621" s="100">
        <f t="shared" ref="J621:J625" si="506">+F621/C621</f>
        <v>28805.099355160073</v>
      </c>
      <c r="K621" s="100">
        <f t="shared" si="502"/>
        <v>29297.587415445301</v>
      </c>
      <c r="L621" s="100">
        <f t="shared" ref="L621:L625" si="507">+H621/C621</f>
        <v>28805.099355160073</v>
      </c>
      <c r="M621" s="100">
        <f t="shared" ref="M621:M625" si="508">+I621/D621</f>
        <v>29297.587415445301</v>
      </c>
    </row>
    <row r="622" spans="2:13" x14ac:dyDescent="0.2">
      <c r="B622" s="138" t="s">
        <v>120</v>
      </c>
      <c r="C622" s="57">
        <f t="shared" si="503"/>
        <v>126</v>
      </c>
      <c r="D622" s="57">
        <v>126.13411514324987</v>
      </c>
      <c r="E622" s="155" t="s">
        <v>62</v>
      </c>
      <c r="F622" s="100">
        <f t="shared" si="504"/>
        <v>312524.7633633946</v>
      </c>
      <c r="G622" s="100">
        <f t="shared" ref="G622:G624" si="509">+N424</f>
        <v>316065.55439528805</v>
      </c>
      <c r="H622" s="100">
        <f t="shared" si="505"/>
        <v>312524.7633633946</v>
      </c>
      <c r="I622" s="158">
        <f t="shared" ref="I622:I623" si="510">+G622</f>
        <v>316065.55439528805</v>
      </c>
      <c r="J622" s="100">
        <f t="shared" si="506"/>
        <v>2480.3552647888459</v>
      </c>
      <c r="K622" s="100">
        <f t="shared" si="502"/>
        <v>2505.7896036796551</v>
      </c>
      <c r="L622" s="100">
        <f t="shared" si="507"/>
        <v>2480.3552647888459</v>
      </c>
      <c r="M622" s="100">
        <f t="shared" si="508"/>
        <v>2505.7896036796551</v>
      </c>
    </row>
    <row r="623" spans="2:13" x14ac:dyDescent="0.2">
      <c r="B623" s="138" t="s">
        <v>114</v>
      </c>
      <c r="C623" s="57">
        <f t="shared" si="503"/>
        <v>2963</v>
      </c>
      <c r="D623" s="57">
        <v>2974.135068550856</v>
      </c>
      <c r="E623" s="155" t="s">
        <v>62</v>
      </c>
      <c r="F623" s="100">
        <f t="shared" si="504"/>
        <v>2436.1070625659263</v>
      </c>
      <c r="G623" s="100">
        <f t="shared" si="509"/>
        <v>2445.262047087997</v>
      </c>
      <c r="H623" s="100">
        <f t="shared" si="505"/>
        <v>2436.1070625659263</v>
      </c>
      <c r="I623" s="158">
        <f t="shared" si="510"/>
        <v>2445.262047087997</v>
      </c>
      <c r="J623" s="100">
        <f t="shared" si="506"/>
        <v>0.82217585641779489</v>
      </c>
      <c r="K623" s="100">
        <f t="shared" si="502"/>
        <v>0.82217585641779478</v>
      </c>
      <c r="L623" s="100">
        <f t="shared" si="507"/>
        <v>0.82217585641779489</v>
      </c>
      <c r="M623" s="100">
        <f t="shared" si="508"/>
        <v>0.82217585641779478</v>
      </c>
    </row>
    <row r="624" spans="2:13" x14ac:dyDescent="0.2">
      <c r="B624" s="138" t="s">
        <v>68</v>
      </c>
      <c r="C624" s="57">
        <f t="shared" si="503"/>
        <v>157</v>
      </c>
      <c r="D624" s="57">
        <v>157.10035188815147</v>
      </c>
      <c r="E624" s="155" t="s">
        <v>62</v>
      </c>
      <c r="F624" s="100">
        <f t="shared" si="504"/>
        <v>276.80983328597222</v>
      </c>
      <c r="G624" s="100">
        <f t="shared" si="509"/>
        <v>276.98676570271829</v>
      </c>
      <c r="H624" s="100">
        <f t="shared" si="505"/>
        <v>276.80983328597222</v>
      </c>
      <c r="I624" s="158">
        <f>+G624</f>
        <v>276.98676570271829</v>
      </c>
      <c r="J624" s="100">
        <f t="shared" si="506"/>
        <v>1.7631199572354919</v>
      </c>
      <c r="K624" s="100">
        <f t="shared" si="502"/>
        <v>1.7631199572354916</v>
      </c>
      <c r="L624" s="100">
        <f t="shared" si="507"/>
        <v>1.7631199572354919</v>
      </c>
      <c r="M624" s="100">
        <f t="shared" si="508"/>
        <v>1.7631199572354916</v>
      </c>
    </row>
    <row r="625" spans="2:13" x14ac:dyDescent="0.2">
      <c r="B625" s="138" t="s">
        <v>169</v>
      </c>
      <c r="C625" s="57">
        <f t="shared" si="503"/>
        <v>97</v>
      </c>
      <c r="D625" s="57">
        <v>96.349640189523058</v>
      </c>
      <c r="E625" s="155" t="s">
        <v>61</v>
      </c>
      <c r="F625" s="100">
        <f t="shared" si="504"/>
        <v>371509.19350661727</v>
      </c>
      <c r="G625" s="100">
        <f>+I625</f>
        <v>369018.32083981927</v>
      </c>
      <c r="H625" s="100">
        <f t="shared" si="505"/>
        <v>371509.19350661727</v>
      </c>
      <c r="I625" s="158">
        <f>+'Rate Class Energy Model'!M33</f>
        <v>369018.32083981927</v>
      </c>
      <c r="J625" s="100">
        <f t="shared" si="506"/>
        <v>3829.9916856352297</v>
      </c>
      <c r="K625" s="100">
        <f t="shared" si="502"/>
        <v>3829.9916856352293</v>
      </c>
      <c r="L625" s="100">
        <f t="shared" si="507"/>
        <v>3829.9916856352297</v>
      </c>
      <c r="M625" s="100">
        <f t="shared" si="508"/>
        <v>3829.9916856352293</v>
      </c>
    </row>
    <row r="626" spans="2:13" x14ac:dyDescent="0.2">
      <c r="B626" s="153" t="s">
        <v>209</v>
      </c>
      <c r="C626" s="153" t="s">
        <v>228</v>
      </c>
      <c r="D626" s="153" t="s">
        <v>229</v>
      </c>
      <c r="E626" s="153"/>
      <c r="F626" s="153" t="s">
        <v>222</v>
      </c>
      <c r="G626" s="153" t="s">
        <v>229</v>
      </c>
      <c r="H626" s="153" t="str">
        <f>+F626</f>
        <v>Volume</v>
      </c>
      <c r="I626" s="153" t="str">
        <f>+G626</f>
        <v>%</v>
      </c>
      <c r="J626" s="153" t="str">
        <f t="shared" ref="J626" si="511">+H626</f>
        <v>Volume</v>
      </c>
      <c r="K626" s="153" t="str">
        <f t="shared" ref="K626" si="512">+I626</f>
        <v>%</v>
      </c>
      <c r="L626" s="153" t="str">
        <f t="shared" ref="L626" si="513">+J626</f>
        <v>Volume</v>
      </c>
      <c r="M626" s="153" t="str">
        <f t="shared" ref="M626" si="514">+K626</f>
        <v>%</v>
      </c>
    </row>
    <row r="627" spans="2:13" x14ac:dyDescent="0.2">
      <c r="B627" s="139" t="str">
        <f>+B620</f>
        <v>Residential</v>
      </c>
      <c r="C627" s="100">
        <f>+D620-C620</f>
        <v>127.83333333333394</v>
      </c>
      <c r="D627" s="101">
        <f>(D620-C620)/C620</f>
        <v>1.1008094609334688E-2</v>
      </c>
      <c r="E627" s="100" t="str">
        <f>+E620</f>
        <v>kWh</v>
      </c>
      <c r="F627" s="100">
        <f t="shared" ref="F627:F632" si="515">+G620-F620</f>
        <v>2592506.4574943632</v>
      </c>
      <c r="G627" s="101">
        <f t="shared" ref="G627:G632" si="516">(G620-F620)/F620</f>
        <v>2.8293555399027254E-2</v>
      </c>
      <c r="H627" s="100">
        <f t="shared" ref="H627:H632" si="517">+I620-H620</f>
        <v>2592506.4574943632</v>
      </c>
      <c r="I627" s="101">
        <f t="shared" ref="I627:I632" si="518">(I620-H620)/H620</f>
        <v>2.8293555399027254E-2</v>
      </c>
      <c r="J627" s="100">
        <f t="shared" ref="J627:J632" si="519">+K620-J620</f>
        <v>134.90457883563522</v>
      </c>
      <c r="K627" s="101">
        <f t="shared" ref="K627:K632" si="520">(K620-J620)/J620</f>
        <v>1.7097252615343117E-2</v>
      </c>
      <c r="L627" s="100">
        <f t="shared" ref="L627:L632" si="521">+M620-L620</f>
        <v>134.90457883563522</v>
      </c>
      <c r="M627" s="101">
        <f t="shared" ref="M627:M632" si="522">(M620-L620)/L620</f>
        <v>1.7097252615343117E-2</v>
      </c>
    </row>
    <row r="628" spans="2:13" x14ac:dyDescent="0.2">
      <c r="B628" s="139" t="str">
        <f t="shared" ref="B628:B632" si="523">+B621</f>
        <v>GS&lt;50 kW</v>
      </c>
      <c r="C628" s="100">
        <f t="shared" ref="C628:C632" si="524">+D621-C621</f>
        <v>4.2334481663742736</v>
      </c>
      <c r="D628" s="101">
        <f t="shared" ref="D628:D632" si="525">(D621-C621)/C621</f>
        <v>3.636201989584946E-3</v>
      </c>
      <c r="E628" s="100" t="str">
        <f t="shared" ref="E628:E632" si="526">+E621</f>
        <v>kWh</v>
      </c>
      <c r="F628" s="100">
        <f t="shared" si="515"/>
        <v>697409.04191018268</v>
      </c>
      <c r="G628" s="101">
        <f t="shared" si="516"/>
        <v>2.0795623668904351E-2</v>
      </c>
      <c r="H628" s="100">
        <f t="shared" si="517"/>
        <v>697409.04191018268</v>
      </c>
      <c r="I628" s="101">
        <f t="shared" si="518"/>
        <v>2.0795623668904351E-2</v>
      </c>
      <c r="J628" s="100">
        <f t="shared" si="519"/>
        <v>492.48806028522813</v>
      </c>
      <c r="K628" s="101">
        <f t="shared" si="520"/>
        <v>1.7097252615343089E-2</v>
      </c>
      <c r="L628" s="100">
        <f t="shared" si="521"/>
        <v>492.48806028522813</v>
      </c>
      <c r="M628" s="101">
        <f t="shared" si="522"/>
        <v>1.7097252615343089E-2</v>
      </c>
    </row>
    <row r="629" spans="2:13" x14ac:dyDescent="0.2">
      <c r="B629" s="139" t="str">
        <f t="shared" si="523"/>
        <v>GS&gt;50 kW</v>
      </c>
      <c r="C629" s="100">
        <f t="shared" si="524"/>
        <v>0.13411514324987195</v>
      </c>
      <c r="D629" s="101">
        <f t="shared" si="525"/>
        <v>1.0644058988085075E-3</v>
      </c>
      <c r="E629" s="155" t="str">
        <f t="shared" si="526"/>
        <v>kW</v>
      </c>
      <c r="F629" s="100">
        <f t="shared" si="515"/>
        <v>3540.7910318934591</v>
      </c>
      <c r="G629" s="101">
        <f t="shared" si="516"/>
        <v>1.1329633510597467E-2</v>
      </c>
      <c r="H629" s="100">
        <f t="shared" si="517"/>
        <v>3540.7910318934591</v>
      </c>
      <c r="I629" s="101">
        <f t="shared" si="518"/>
        <v>1.1329633510597467E-2</v>
      </c>
      <c r="J629" s="100">
        <f t="shared" si="519"/>
        <v>25.434338890809158</v>
      </c>
      <c r="K629" s="101">
        <f t="shared" si="520"/>
        <v>1.0254312860691913E-2</v>
      </c>
      <c r="L629" s="100">
        <f t="shared" si="521"/>
        <v>25.434338890809158</v>
      </c>
      <c r="M629" s="101">
        <f t="shared" si="522"/>
        <v>1.0254312860691913E-2</v>
      </c>
    </row>
    <row r="630" spans="2:13" x14ac:dyDescent="0.2">
      <c r="B630" s="139" t="str">
        <f t="shared" si="523"/>
        <v>Street Lighting</v>
      </c>
      <c r="C630" s="100">
        <f t="shared" si="524"/>
        <v>11.135068550855976</v>
      </c>
      <c r="D630" s="101">
        <f t="shared" si="525"/>
        <v>3.7580386604306368E-3</v>
      </c>
      <c r="E630" s="155" t="str">
        <f t="shared" si="526"/>
        <v>kW</v>
      </c>
      <c r="F630" s="100">
        <f t="shared" si="515"/>
        <v>9.1549845220706629</v>
      </c>
      <c r="G630" s="101">
        <f t="shared" si="516"/>
        <v>3.7580386604305531E-3</v>
      </c>
      <c r="H630" s="100">
        <f t="shared" si="517"/>
        <v>9.1549845220706629</v>
      </c>
      <c r="I630" s="101">
        <f t="shared" si="518"/>
        <v>3.7580386604305531E-3</v>
      </c>
      <c r="J630" s="100">
        <f t="shared" si="519"/>
        <v>0</v>
      </c>
      <c r="K630" s="101">
        <f t="shared" si="520"/>
        <v>-1.3503473933938875E-16</v>
      </c>
      <c r="L630" s="100">
        <f t="shared" si="521"/>
        <v>0</v>
      </c>
      <c r="M630" s="101">
        <f t="shared" si="522"/>
        <v>-1.3503473933938875E-16</v>
      </c>
    </row>
    <row r="631" spans="2:13" x14ac:dyDescent="0.2">
      <c r="B631" s="139" t="str">
        <f t="shared" si="523"/>
        <v>Sentinel Lights</v>
      </c>
      <c r="C631" s="100">
        <f t="shared" si="524"/>
        <v>0.10035188815146512</v>
      </c>
      <c r="D631" s="101">
        <f t="shared" si="525"/>
        <v>6.3918400096474597E-4</v>
      </c>
      <c r="E631" s="155" t="str">
        <f t="shared" si="526"/>
        <v>kW</v>
      </c>
      <c r="F631" s="100">
        <f t="shared" si="515"/>
        <v>0.17693241674606952</v>
      </c>
      <c r="G631" s="101">
        <f t="shared" si="516"/>
        <v>6.3918400096459234E-4</v>
      </c>
      <c r="H631" s="100">
        <f t="shared" si="517"/>
        <v>0.17693241674606952</v>
      </c>
      <c r="I631" s="101">
        <f t="shared" si="518"/>
        <v>6.3918400096459234E-4</v>
      </c>
      <c r="J631" s="100">
        <f t="shared" si="519"/>
        <v>0</v>
      </c>
      <c r="K631" s="101">
        <f t="shared" si="520"/>
        <v>-1.2593845586841929E-16</v>
      </c>
      <c r="L631" s="100">
        <f t="shared" si="521"/>
        <v>0</v>
      </c>
      <c r="M631" s="101">
        <f t="shared" si="522"/>
        <v>-1.2593845586841929E-16</v>
      </c>
    </row>
    <row r="632" spans="2:13" x14ac:dyDescent="0.2">
      <c r="B632" s="139" t="str">
        <f t="shared" si="523"/>
        <v>USL</v>
      </c>
      <c r="C632" s="100">
        <f t="shared" si="524"/>
        <v>-0.65035981047694236</v>
      </c>
      <c r="D632" s="101">
        <f t="shared" si="525"/>
        <v>-6.7047403141952816E-3</v>
      </c>
      <c r="E632" s="155" t="str">
        <f t="shared" si="526"/>
        <v>kWh</v>
      </c>
      <c r="F632" s="100">
        <f t="shared" si="515"/>
        <v>-2490.8726667980081</v>
      </c>
      <c r="G632" s="101">
        <f t="shared" si="516"/>
        <v>-6.7047403141953232E-3</v>
      </c>
      <c r="H632" s="100">
        <f t="shared" si="517"/>
        <v>-2490.8726667980081</v>
      </c>
      <c r="I632" s="101">
        <f t="shared" si="518"/>
        <v>-6.7047403141953232E-3</v>
      </c>
      <c r="J632" s="100">
        <f t="shared" si="519"/>
        <v>0</v>
      </c>
      <c r="K632" s="101">
        <f t="shared" si="520"/>
        <v>-1.1873324753994635E-16</v>
      </c>
      <c r="L632" s="100">
        <f t="shared" si="521"/>
        <v>0</v>
      </c>
      <c r="M632" s="101">
        <f t="shared" si="522"/>
        <v>-1.1873324753994635E-16</v>
      </c>
    </row>
    <row r="635" spans="2:13" x14ac:dyDescent="0.2">
      <c r="B635" t="s">
        <v>254</v>
      </c>
    </row>
    <row r="636" spans="2:13" ht="51" x14ac:dyDescent="0.2">
      <c r="B636" s="153" t="s">
        <v>111</v>
      </c>
      <c r="C636" s="153" t="s">
        <v>242</v>
      </c>
      <c r="D636" s="153" t="s">
        <v>243</v>
      </c>
      <c r="E636" s="153" t="s">
        <v>10</v>
      </c>
      <c r="F636" s="153" t="s">
        <v>244</v>
      </c>
      <c r="G636" s="153" t="s">
        <v>224</v>
      </c>
      <c r="H636" s="153" t="s">
        <v>245</v>
      </c>
    </row>
    <row r="637" spans="2:13" x14ac:dyDescent="0.2">
      <c r="B637" s="169">
        <v>2013</v>
      </c>
      <c r="C637" s="170">
        <f>+'Purchd Power Model Weather norm'!D152/1000000</f>
        <v>253.79453228605215</v>
      </c>
      <c r="D637" s="171">
        <f>+'Purchased Power Model'!N152/1000000</f>
        <v>251.53369358879704</v>
      </c>
      <c r="E637" s="172">
        <f>(D637-C637)/C637</f>
        <v>-8.9081458016081923E-3</v>
      </c>
      <c r="F637" s="171">
        <f>+'Purchd Power Model Weather norm'!N152/1000000</f>
        <v>252.57282252254464</v>
      </c>
      <c r="G637" s="173">
        <f>+F637/D637</f>
        <v>1.0041311719273933</v>
      </c>
      <c r="H637" s="174"/>
    </row>
    <row r="638" spans="2:13" x14ac:dyDescent="0.2">
      <c r="B638" s="169">
        <f>+B637+1</f>
        <v>2014</v>
      </c>
      <c r="C638" s="170">
        <f>+'Purchd Power Model Weather norm'!D153/1000000</f>
        <v>256.46367528359121</v>
      </c>
      <c r="D638" s="171">
        <f>+'Purchased Power Model'!N153/1000000</f>
        <v>253.55630102569916</v>
      </c>
      <c r="E638" s="172">
        <f t="shared" ref="E638:E646" si="527">(D638-C638)/C638</f>
        <v>-1.133639785313517E-2</v>
      </c>
      <c r="F638" s="171">
        <f>+'Purchd Power Model Weather norm'!N153/1000000</f>
        <v>254.57506576949746</v>
      </c>
      <c r="G638" s="173">
        <f t="shared" ref="G638:G648" si="528">+F638/D638</f>
        <v>1.0040179034781511</v>
      </c>
      <c r="H638" s="174"/>
    </row>
    <row r="639" spans="2:13" x14ac:dyDescent="0.2">
      <c r="B639" s="169">
        <f t="shared" ref="B639:B646" si="529">+B638+1</f>
        <v>2015</v>
      </c>
      <c r="C639" s="170">
        <f>+'Purchd Power Model Weather norm'!D154/1000000</f>
        <v>256.37468863650929</v>
      </c>
      <c r="D639" s="171">
        <f>+'Purchased Power Model'!N154/1000000</f>
        <v>255.72792266187943</v>
      </c>
      <c r="E639" s="172">
        <f t="shared" si="527"/>
        <v>-2.5227372408313268E-3</v>
      </c>
      <c r="F639" s="171">
        <f>+'Purchd Power Model Weather norm'!N154/1000000</f>
        <v>256.5773090164501</v>
      </c>
      <c r="G639" s="173">
        <f t="shared" si="528"/>
        <v>1.0033214454867869</v>
      </c>
      <c r="H639" s="174"/>
    </row>
    <row r="640" spans="2:13" x14ac:dyDescent="0.2">
      <c r="B640" s="169">
        <f t="shared" si="529"/>
        <v>2016</v>
      </c>
      <c r="C640" s="170">
        <f>+'Purchd Power Model Weather norm'!D155/1000000</f>
        <v>259.21001863999999</v>
      </c>
      <c r="D640" s="171">
        <f>+'Purchased Power Model'!N155/1000000</f>
        <v>261.63932947235406</v>
      </c>
      <c r="E640" s="172">
        <f t="shared" si="527"/>
        <v>9.371978926971912E-3</v>
      </c>
      <c r="F640" s="171">
        <f>+'Purchd Power Model Weather norm'!N155/1000000</f>
        <v>259.00073635176244</v>
      </c>
      <c r="G640" s="173">
        <f t="shared" si="528"/>
        <v>0.98991515103668526</v>
      </c>
      <c r="H640" s="174"/>
    </row>
    <row r="641" spans="2:8" x14ac:dyDescent="0.2">
      <c r="B641" s="169">
        <f t="shared" si="529"/>
        <v>2017</v>
      </c>
      <c r="C641" s="170">
        <f>+'Purchd Power Model Weather norm'!D156/1000000</f>
        <v>254.04836690000002</v>
      </c>
      <c r="D641" s="171">
        <f>+'Purchased Power Model'!N156/1000000</f>
        <v>258.05270948889773</v>
      </c>
      <c r="E641" s="172">
        <f t="shared" si="527"/>
        <v>1.5762126864897055E-2</v>
      </c>
      <c r="F641" s="171">
        <f>+'Purchd Power Model Weather norm'!N156/1000000</f>
        <v>260.402762934794</v>
      </c>
      <c r="G641" s="173">
        <f t="shared" si="528"/>
        <v>1.0091068737489748</v>
      </c>
      <c r="H641" s="174"/>
    </row>
    <row r="642" spans="2:8" x14ac:dyDescent="0.2">
      <c r="B642" s="169">
        <f t="shared" si="529"/>
        <v>2018</v>
      </c>
      <c r="C642" s="170">
        <f>+'Purchd Power Model Weather norm'!D157/1000000</f>
        <v>266.47325597205048</v>
      </c>
      <c r="D642" s="171">
        <f>+'Purchased Power Model'!N157/1000000</f>
        <v>265.79199993549298</v>
      </c>
      <c r="E642" s="172">
        <f t="shared" si="527"/>
        <v>-2.5565643879435101E-3</v>
      </c>
      <c r="F642" s="171">
        <f>+'Purchd Power Model Weather norm'!N157/1000000</f>
        <v>262.58403875730829</v>
      </c>
      <c r="G642" s="173">
        <f t="shared" si="528"/>
        <v>0.9879305578084997</v>
      </c>
      <c r="H642" s="174"/>
    </row>
    <row r="643" spans="2:8" x14ac:dyDescent="0.2">
      <c r="B643" s="169">
        <f t="shared" si="529"/>
        <v>2019</v>
      </c>
      <c r="C643" s="170">
        <f>+'Purchd Power Model Weather norm'!D158/1000000</f>
        <v>261.98535356000002</v>
      </c>
      <c r="D643" s="171">
        <f>+'Purchased Power Model'!N158/1000000</f>
        <v>264.42747599361257</v>
      </c>
      <c r="E643" s="172">
        <f t="shared" si="527"/>
        <v>9.3215990910471159E-3</v>
      </c>
      <c r="F643" s="171">
        <f>+'Purchd Power Model Weather norm'!N158/1000000</f>
        <v>264.58628200426108</v>
      </c>
      <c r="G643" s="173">
        <f t="shared" si="528"/>
        <v>1.0006005654671541</v>
      </c>
      <c r="H643" s="174"/>
    </row>
    <row r="644" spans="2:8" x14ac:dyDescent="0.2">
      <c r="B644" s="169">
        <f t="shared" si="529"/>
        <v>2020</v>
      </c>
      <c r="C644" s="170">
        <f>+'Purchd Power Model Weather norm'!D159/1000000</f>
        <v>263.49093020000004</v>
      </c>
      <c r="D644" s="171">
        <f>+'Purchased Power Model'!N159/1000000</f>
        <v>265.8460912069304</v>
      </c>
      <c r="E644" s="172">
        <f t="shared" si="527"/>
        <v>8.9383000968674669E-3</v>
      </c>
      <c r="F644" s="171">
        <f>+'Purchd Power Model Weather norm'!N159/1000000</f>
        <v>264.59541538523331</v>
      </c>
      <c r="G644" s="173">
        <f t="shared" si="528"/>
        <v>0.99529548914554633</v>
      </c>
      <c r="H644" s="174"/>
    </row>
    <row r="645" spans="2:8" x14ac:dyDescent="0.2">
      <c r="B645" s="169">
        <f t="shared" si="529"/>
        <v>2021</v>
      </c>
      <c r="C645" s="170">
        <f>+'Purchd Power Model Weather norm'!D160/1000000</f>
        <v>268.72792199999992</v>
      </c>
      <c r="D645" s="171">
        <f>+'Purchased Power Model'!N160/1000000</f>
        <v>267.55338238577889</v>
      </c>
      <c r="E645" s="172">
        <f t="shared" si="527"/>
        <v>-4.370739019151991E-3</v>
      </c>
      <c r="F645" s="171">
        <f>+'Purchd Power Model Weather norm'!N160/1000000</f>
        <v>268.14213089387886</v>
      </c>
      <c r="G645" s="173">
        <f t="shared" si="528"/>
        <v>1.0022004898717785</v>
      </c>
      <c r="H645" s="174"/>
    </row>
    <row r="646" spans="2:8" x14ac:dyDescent="0.2">
      <c r="B646" s="169">
        <f t="shared" si="529"/>
        <v>2022</v>
      </c>
      <c r="C646" s="170">
        <f>+'Purchd Power Model Weather norm'!D161/1000000</f>
        <v>275.97747130408914</v>
      </c>
      <c r="D646" s="171">
        <f>+'Purchased Power Model'!N161/1000000</f>
        <v>275.97747130408891</v>
      </c>
      <c r="E646" s="172">
        <f t="shared" si="527"/>
        <v>-8.2388491484037695E-16</v>
      </c>
      <c r="F646" s="171">
        <f>+'Purchd Power Model Weather norm'!N161/1000000</f>
        <v>275.30361865272164</v>
      </c>
      <c r="G646" s="173">
        <f t="shared" si="528"/>
        <v>0.99755830558131042</v>
      </c>
      <c r="H646" s="174"/>
    </row>
    <row r="647" spans="2:8" x14ac:dyDescent="0.2">
      <c r="B647" s="175" t="s">
        <v>156</v>
      </c>
      <c r="C647" s="170"/>
      <c r="D647" s="171">
        <f>+'Purchased Power Model'!N162/1000000</f>
        <v>268.64282333373274</v>
      </c>
      <c r="E647" s="174"/>
      <c r="F647" s="171">
        <f>+'Purchd Power Model Weather norm'!N162/1000000</f>
        <v>272.33279561455402</v>
      </c>
      <c r="G647" s="173">
        <f t="shared" si="528"/>
        <v>1.0137356071345232</v>
      </c>
      <c r="H647" s="174"/>
    </row>
    <row r="648" spans="2:8" x14ac:dyDescent="0.2">
      <c r="B648" s="175" t="s">
        <v>157</v>
      </c>
      <c r="C648" s="170"/>
      <c r="D648" s="171">
        <f>+'Purchased Power Model'!N163/1000000</f>
        <v>273.61260566577505</v>
      </c>
      <c r="E648" s="174"/>
      <c r="F648" s="171">
        <f>+'Purchd Power Model Weather norm'!N163/1000000</f>
        <v>273.61260566577505</v>
      </c>
      <c r="G648" s="173">
        <f t="shared" si="528"/>
        <v>1</v>
      </c>
      <c r="H648" s="174"/>
    </row>
    <row r="650" spans="2:8" ht="25.5" x14ac:dyDescent="0.2">
      <c r="B650" s="176" t="s">
        <v>208</v>
      </c>
      <c r="C650" s="176" t="s">
        <v>246</v>
      </c>
    </row>
    <row r="651" spans="2:8" x14ac:dyDescent="0.2">
      <c r="B651" s="174" t="str">
        <f>+B627</f>
        <v>Residential</v>
      </c>
      <c r="C651" s="177">
        <f>+'Rate Class Energy Model'!H35</f>
        <v>0.72</v>
      </c>
    </row>
    <row r="652" spans="2:8" x14ac:dyDescent="0.2">
      <c r="B652" s="174" t="str">
        <f t="shared" ref="B652:B656" si="530">+B628</f>
        <v>GS&lt;50 kW</v>
      </c>
      <c r="C652" s="177">
        <f>+'Rate Class Energy Model'!I35</f>
        <v>0.72</v>
      </c>
    </row>
    <row r="653" spans="2:8" x14ac:dyDescent="0.2">
      <c r="B653" s="174" t="str">
        <f t="shared" si="530"/>
        <v>GS&gt;50 kW</v>
      </c>
      <c r="C653" s="177">
        <f>+'Rate Class Energy Model'!J35</f>
        <v>0.44</v>
      </c>
    </row>
    <row r="654" spans="2:8" x14ac:dyDescent="0.2">
      <c r="B654" s="174" t="str">
        <f t="shared" si="530"/>
        <v>Street Lighting</v>
      </c>
      <c r="C654" s="177">
        <v>0</v>
      </c>
    </row>
    <row r="655" spans="2:8" x14ac:dyDescent="0.2">
      <c r="B655" s="174" t="str">
        <f t="shared" si="530"/>
        <v>Sentinel Lights</v>
      </c>
      <c r="C655" s="177">
        <v>0</v>
      </c>
    </row>
    <row r="656" spans="2:8" x14ac:dyDescent="0.2">
      <c r="B656" s="174" t="str">
        <f t="shared" si="530"/>
        <v>USL</v>
      </c>
      <c r="C656" s="177">
        <v>0</v>
      </c>
    </row>
    <row r="659" spans="2:8" ht="63.75" x14ac:dyDescent="0.2">
      <c r="B659" s="176" t="s">
        <v>208</v>
      </c>
      <c r="C659" s="176" t="s">
        <v>247</v>
      </c>
      <c r="D659" s="176" t="s">
        <v>248</v>
      </c>
      <c r="E659" s="176" t="s">
        <v>249</v>
      </c>
      <c r="F659" s="176" t="s">
        <v>250</v>
      </c>
      <c r="G659" s="176" t="s">
        <v>251</v>
      </c>
      <c r="H659" s="176" t="s">
        <v>252</v>
      </c>
    </row>
    <row r="660" spans="2:8" x14ac:dyDescent="0.2">
      <c r="B660" s="174" t="str">
        <f>+B651</f>
        <v>Residential</v>
      </c>
      <c r="C660" s="178">
        <f>+'Rate Class Energy Model'!H28/1000000</f>
        <v>96.086664975862277</v>
      </c>
      <c r="D660" s="179">
        <f>+E660-C660</f>
        <v>-4.4577968137685673</v>
      </c>
      <c r="E660" s="178">
        <f>+'Rate Class Energy Model'!H32/1000000</f>
        <v>91.62886816209371</v>
      </c>
      <c r="F660" s="178">
        <f>+'Rate Class Energy Model'!H29/1000000</f>
        <v>97.144396074612018</v>
      </c>
      <c r="G660" s="179">
        <f t="shared" ref="G660:G665" si="531">+H660-F660</f>
        <v>-2.9230214550239424</v>
      </c>
      <c r="H660" s="178">
        <f>+'Rate Class Energy Model'!H33/1000000</f>
        <v>94.221374619588076</v>
      </c>
    </row>
    <row r="661" spans="2:8" x14ac:dyDescent="0.2">
      <c r="B661" s="174" t="str">
        <f t="shared" ref="B661:B665" si="532">+B652</f>
        <v>GS&lt;50 kW</v>
      </c>
      <c r="C661" s="178">
        <f>+'Rate Class Energy Model'!I28/1000000</f>
        <v>35.167898885939358</v>
      </c>
      <c r="D661" s="179">
        <f t="shared" ref="D661:D665" si="533">+E661-C661</f>
        <v>-1.6315619616942456</v>
      </c>
      <c r="E661" s="178">
        <f>+'Rate Class Energy Model'!I32/1000000</f>
        <v>33.536336924245113</v>
      </c>
      <c r="F661" s="178">
        <f>+'Rate Class Energy Model'!I29/1000000</f>
        <v>35.295776469837932</v>
      </c>
      <c r="G661" s="179">
        <f t="shared" si="531"/>
        <v>-1.0620305036826352</v>
      </c>
      <c r="H661" s="178">
        <f>+'Rate Class Energy Model'!I33/1000000</f>
        <v>34.233745966155297</v>
      </c>
    </row>
    <row r="662" spans="2:8" x14ac:dyDescent="0.2">
      <c r="B662" s="174" t="str">
        <f t="shared" si="532"/>
        <v>GS&gt;50 kW</v>
      </c>
      <c r="C662" s="178">
        <f>+'Rate Class Energy Model'!J28/1000000</f>
        <v>136.43006065581511</v>
      </c>
      <c r="D662" s="179">
        <f t="shared" si="533"/>
        <v>-3.8680083398968463</v>
      </c>
      <c r="E662" s="178">
        <f>+'Rate Class Energy Model'!J32/1000000</f>
        <v>132.56205231591827</v>
      </c>
      <c r="F662" s="178">
        <f>+'Rate Class Energy Model'!J29/1000000</f>
        <v>136.57527761715198</v>
      </c>
      <c r="G662" s="179">
        <f t="shared" si="531"/>
        <v>-2.5113458310816839</v>
      </c>
      <c r="H662" s="178">
        <f>+'Rate Class Energy Model'!J33/1000000</f>
        <v>134.0639317860703</v>
      </c>
    </row>
    <row r="663" spans="2:8" x14ac:dyDescent="0.2">
      <c r="B663" s="174" t="str">
        <f t="shared" si="532"/>
        <v>Street Lighting</v>
      </c>
      <c r="C663" s="178">
        <f>+'Rate Class Energy Model'!K28/1000000</f>
        <v>0.86855732053391022</v>
      </c>
      <c r="D663" s="179">
        <f t="shared" si="533"/>
        <v>0</v>
      </c>
      <c r="E663" s="178">
        <f>+'Rate Class Energy Model'!K32/1000000</f>
        <v>0.86855732053391022</v>
      </c>
      <c r="F663" s="179">
        <f>+'Rate Class Energy Model'!K29/1000000</f>
        <v>0.87182139252327662</v>
      </c>
      <c r="G663" s="179">
        <f t="shared" si="531"/>
        <v>0</v>
      </c>
      <c r="H663" s="178">
        <f>+'Rate Class Energy Model'!K33/1000000</f>
        <v>0.87182139252327662</v>
      </c>
    </row>
    <row r="664" spans="2:8" x14ac:dyDescent="0.2">
      <c r="B664" s="174" t="str">
        <f t="shared" si="532"/>
        <v>Sentinel Lights</v>
      </c>
      <c r="C664" s="178">
        <f>+'Rate Class Energy Model'!L28/1000000</f>
        <v>9.9584399114818867E-2</v>
      </c>
      <c r="D664" s="179">
        <f t="shared" si="533"/>
        <v>0</v>
      </c>
      <c r="E664" s="178">
        <f>+'Rate Class Energy Model'!L32/1000000</f>
        <v>9.9584399114818867E-2</v>
      </c>
      <c r="F664" s="179">
        <f>+'Rate Class Energy Model'!L29/1000000</f>
        <v>9.9648051869478727E-2</v>
      </c>
      <c r="G664" s="179">
        <f t="shared" si="531"/>
        <v>0</v>
      </c>
      <c r="H664" s="178">
        <f>+'Rate Class Energy Model'!L33/1000000</f>
        <v>9.9648051869478727E-2</v>
      </c>
    </row>
    <row r="665" spans="2:8" x14ac:dyDescent="0.2">
      <c r="B665" s="174" t="str">
        <f t="shared" si="532"/>
        <v>USL</v>
      </c>
      <c r="C665" s="178">
        <f>+'Rate Class Energy Model'!M28/1000000</f>
        <v>0.37150919350661726</v>
      </c>
      <c r="D665" s="179">
        <f t="shared" si="533"/>
        <v>0</v>
      </c>
      <c r="E665" s="178">
        <f>+'Rate Class Energy Model'!M32/1000000</f>
        <v>0.37150919350661726</v>
      </c>
      <c r="F665" s="179">
        <f>+'Rate Class Energy Model'!M29/1000000</f>
        <v>0.36901832083981928</v>
      </c>
      <c r="G665" s="179">
        <f t="shared" si="531"/>
        <v>0</v>
      </c>
      <c r="H665" s="178">
        <f>+'Rate Class Energy Model'!M33/1000000</f>
        <v>0.36901832083981928</v>
      </c>
    </row>
    <row r="667" spans="2:8" x14ac:dyDescent="0.2">
      <c r="B667" s="189" t="s">
        <v>257</v>
      </c>
    </row>
    <row r="668" spans="2:8" ht="25.5" x14ac:dyDescent="0.2">
      <c r="B668" s="190" t="s">
        <v>258</v>
      </c>
      <c r="C668" s="190" t="s">
        <v>186</v>
      </c>
      <c r="D668" s="190" t="s">
        <v>240</v>
      </c>
      <c r="E668" s="190" t="s">
        <v>209</v>
      </c>
      <c r="F668" s="190" t="s">
        <v>14</v>
      </c>
    </row>
    <row r="669" spans="2:8" x14ac:dyDescent="0.2">
      <c r="B669" s="174" t="str">
        <f>+B651</f>
        <v>Residential</v>
      </c>
      <c r="C669" s="191">
        <f>+C440</f>
        <v>10325</v>
      </c>
      <c r="D669" s="191">
        <f>+D620</f>
        <v>11740.5</v>
      </c>
      <c r="E669" s="191">
        <f>+D669-C669</f>
        <v>1415.5</v>
      </c>
      <c r="F669" s="192">
        <f t="shared" ref="F669" si="534">IF(D669=0,0,E669/D669)</f>
        <v>0.12056556364720412</v>
      </c>
    </row>
    <row r="670" spans="2:8" x14ac:dyDescent="0.2">
      <c r="B670" s="174" t="str">
        <f t="shared" ref="B670:B674" si="535">+B652</f>
        <v>GS&lt;50 kW</v>
      </c>
      <c r="C670" s="191">
        <f t="shared" ref="C670:C674" si="536">+C441</f>
        <v>1141</v>
      </c>
      <c r="D670" s="191">
        <f t="shared" ref="D670:D674" si="537">+D621</f>
        <v>1168.4834481663743</v>
      </c>
      <c r="E670" s="191">
        <f t="shared" ref="E670:E675" si="538">+D670-C670</f>
        <v>27.483448166374274</v>
      </c>
      <c r="F670" s="192">
        <f t="shared" ref="F670:F671" si="539">IF(D670=0,0,E670/D670)</f>
        <v>2.3520614014261199E-2</v>
      </c>
    </row>
    <row r="671" spans="2:8" x14ac:dyDescent="0.2">
      <c r="B671" s="174" t="str">
        <f t="shared" si="535"/>
        <v>GS&gt;50 kW</v>
      </c>
      <c r="C671" s="191">
        <f t="shared" si="536"/>
        <v>124</v>
      </c>
      <c r="D671" s="191">
        <f t="shared" si="537"/>
        <v>126.13411514324987</v>
      </c>
      <c r="E671" s="191">
        <f t="shared" si="538"/>
        <v>2.1341151432498719</v>
      </c>
      <c r="F671" s="192">
        <f t="shared" si="539"/>
        <v>1.6919412649196202E-2</v>
      </c>
    </row>
    <row r="672" spans="2:8" x14ac:dyDescent="0.2">
      <c r="B672" s="174" t="str">
        <f t="shared" si="535"/>
        <v>Street Lighting</v>
      </c>
      <c r="C672" s="191">
        <f t="shared" si="536"/>
        <v>2870</v>
      </c>
      <c r="D672" s="191">
        <f t="shared" si="537"/>
        <v>2974.135068550856</v>
      </c>
      <c r="E672" s="191">
        <f t="shared" si="538"/>
        <v>104.13506855085598</v>
      </c>
      <c r="F672" s="192">
        <f t="shared" ref="F672:F675" si="540">IF(D672=0,0,E672/D672)</f>
        <v>3.5013563994454253E-2</v>
      </c>
    </row>
    <row r="673" spans="2:6" x14ac:dyDescent="0.2">
      <c r="B673" s="174" t="str">
        <f t="shared" si="535"/>
        <v>Sentinel Lights</v>
      </c>
      <c r="C673" s="191">
        <f t="shared" si="536"/>
        <v>155</v>
      </c>
      <c r="D673" s="191">
        <f t="shared" si="537"/>
        <v>157.10035188815147</v>
      </c>
      <c r="E673" s="191">
        <f t="shared" si="538"/>
        <v>2.1003518881514651</v>
      </c>
      <c r="F673" s="192">
        <f t="shared" si="540"/>
        <v>1.336949193880115E-2</v>
      </c>
    </row>
    <row r="674" spans="2:6" x14ac:dyDescent="0.2">
      <c r="B674" s="174" t="str">
        <f t="shared" si="535"/>
        <v>USL</v>
      </c>
      <c r="C674" s="191">
        <f t="shared" si="536"/>
        <v>104</v>
      </c>
      <c r="D674" s="191">
        <f t="shared" si="537"/>
        <v>96.349640189523058</v>
      </c>
      <c r="E674" s="191">
        <f t="shared" si="538"/>
        <v>-7.6503598104769424</v>
      </c>
      <c r="F674" s="192">
        <f t="shared" si="540"/>
        <v>-7.9402058953499166E-2</v>
      </c>
    </row>
    <row r="675" spans="2:6" x14ac:dyDescent="0.2">
      <c r="B675" s="174" t="s">
        <v>11</v>
      </c>
      <c r="C675" s="193">
        <f>SUM(C669:C674)</f>
        <v>14719</v>
      </c>
      <c r="D675" s="193">
        <f t="shared" ref="D675" si="541">SUM(D669:D674)</f>
        <v>16262.702623938154</v>
      </c>
      <c r="E675" s="191">
        <f t="shared" si="538"/>
        <v>1543.7026239381539</v>
      </c>
      <c r="F675" s="192">
        <f t="shared" si="540"/>
        <v>9.4922883338337344E-2</v>
      </c>
    </row>
    <row r="677" spans="2:6" x14ac:dyDescent="0.2">
      <c r="B677" t="s">
        <v>259</v>
      </c>
    </row>
    <row r="678" spans="2:6" ht="25.5" x14ac:dyDescent="0.2">
      <c r="B678" s="190" t="s">
        <v>258</v>
      </c>
      <c r="C678" s="190" t="s">
        <v>186</v>
      </c>
      <c r="D678" s="190" t="s">
        <v>240</v>
      </c>
      <c r="E678" s="190" t="s">
        <v>209</v>
      </c>
      <c r="F678" s="190" t="s">
        <v>14</v>
      </c>
    </row>
    <row r="679" spans="2:6" x14ac:dyDescent="0.2">
      <c r="B679" s="174" t="str">
        <f>+B669</f>
        <v>Residential</v>
      </c>
      <c r="C679" s="191">
        <f>+F440</f>
        <v>90278404</v>
      </c>
      <c r="D679" s="191">
        <f>+D630</f>
        <v>3.7580386604306368E-3</v>
      </c>
      <c r="E679" s="191">
        <f>+D679-C679</f>
        <v>-90278403.996241957</v>
      </c>
      <c r="F679" s="192">
        <f t="shared" ref="F679:F685" si="542">IF(D679=0,0,E679/D679)</f>
        <v>-24022744882.006317</v>
      </c>
    </row>
    <row r="680" spans="2:6" x14ac:dyDescent="0.2">
      <c r="B680" s="174" t="str">
        <f t="shared" ref="B680:B684" si="543">+B670</f>
        <v>GS&lt;50 kW</v>
      </c>
      <c r="C680" s="191">
        <f t="shared" ref="C680:C684" si="544">+C451</f>
        <v>-2.8333333333333428</v>
      </c>
      <c r="D680" s="191">
        <f t="shared" ref="D680:D684" si="545">+D631</f>
        <v>6.3918400096474597E-4</v>
      </c>
      <c r="E680" s="191">
        <f t="shared" ref="E680:E685" si="546">+D680-C680</f>
        <v>2.8339725173343076</v>
      </c>
      <c r="F680" s="192">
        <f t="shared" si="542"/>
        <v>4433.7350638577927</v>
      </c>
    </row>
    <row r="681" spans="2:6" x14ac:dyDescent="0.2">
      <c r="B681" s="174" t="str">
        <f t="shared" si="543"/>
        <v>GS&gt;50 kW</v>
      </c>
      <c r="C681" s="191">
        <f t="shared" si="544"/>
        <v>0</v>
      </c>
      <c r="D681" s="191">
        <f t="shared" si="545"/>
        <v>-6.7047403141952816E-3</v>
      </c>
      <c r="E681" s="191">
        <f t="shared" si="546"/>
        <v>-6.7047403141952816E-3</v>
      </c>
      <c r="F681" s="192">
        <f t="shared" si="542"/>
        <v>1</v>
      </c>
    </row>
    <row r="682" spans="2:6" x14ac:dyDescent="0.2">
      <c r="B682" s="174" t="str">
        <f t="shared" si="543"/>
        <v>Street Lighting</v>
      </c>
      <c r="C682" s="191">
        <f t="shared" si="544"/>
        <v>0</v>
      </c>
      <c r="D682" s="191">
        <f t="shared" si="545"/>
        <v>0</v>
      </c>
      <c r="E682" s="191">
        <f t="shared" si="546"/>
        <v>0</v>
      </c>
      <c r="F682" s="192">
        <f t="shared" si="542"/>
        <v>0</v>
      </c>
    </row>
    <row r="683" spans="2:6" x14ac:dyDescent="0.2">
      <c r="B683" s="174" t="str">
        <f t="shared" si="543"/>
        <v>Sentinel Lights</v>
      </c>
      <c r="C683" s="191">
        <f t="shared" si="544"/>
        <v>0</v>
      </c>
      <c r="D683" s="191">
        <f t="shared" si="545"/>
        <v>0</v>
      </c>
      <c r="E683" s="191">
        <f t="shared" si="546"/>
        <v>0</v>
      </c>
      <c r="F683" s="192">
        <f t="shared" si="542"/>
        <v>0</v>
      </c>
    </row>
    <row r="684" spans="2:6" x14ac:dyDescent="0.2">
      <c r="B684" s="174" t="str">
        <f t="shared" si="543"/>
        <v>USL</v>
      </c>
      <c r="C684" s="191">
        <f t="shared" si="544"/>
        <v>0</v>
      </c>
      <c r="D684" s="191">
        <f t="shared" si="545"/>
        <v>0</v>
      </c>
      <c r="E684" s="191">
        <f t="shared" si="546"/>
        <v>0</v>
      </c>
      <c r="F684" s="192">
        <f t="shared" si="542"/>
        <v>0</v>
      </c>
    </row>
    <row r="685" spans="2:6" x14ac:dyDescent="0.2">
      <c r="B685" s="174" t="s">
        <v>11</v>
      </c>
      <c r="C685" s="193">
        <f>SUM(C679:C684)</f>
        <v>90278401.166666672</v>
      </c>
      <c r="D685" s="193">
        <f t="shared" ref="D685" si="547">SUM(D679:D684)</f>
        <v>-2.3075176527998986E-3</v>
      </c>
      <c r="E685" s="191">
        <f t="shared" si="546"/>
        <v>-90278401.168974191</v>
      </c>
      <c r="F685" s="192">
        <f t="shared" si="542"/>
        <v>39123601528.868942</v>
      </c>
    </row>
    <row r="688" spans="2:6" ht="25.5" x14ac:dyDescent="0.2">
      <c r="B688" s="190" t="s">
        <v>111</v>
      </c>
      <c r="C688" s="190" t="s">
        <v>262</v>
      </c>
      <c r="D688" s="190" t="s">
        <v>265</v>
      </c>
      <c r="E688" t="str">
        <f>+"2013"&amp;"12"</f>
        <v>201312</v>
      </c>
      <c r="F688">
        <f>SUMIF(Inputs!A:A,Summaries!E688,Inputs!Q:Q)</f>
        <v>10261</v>
      </c>
    </row>
    <row r="689" spans="2:6" x14ac:dyDescent="0.2">
      <c r="B689" s="174">
        <v>2014</v>
      </c>
      <c r="C689" s="191">
        <f>+F689-F688</f>
        <v>146</v>
      </c>
      <c r="D689" s="208">
        <f>+C689/F688</f>
        <v>1.4228632686872624E-2</v>
      </c>
      <c r="E689" t="str">
        <f t="shared" ref="E689:E699" si="548">+B689&amp;"12"</f>
        <v>201412</v>
      </c>
      <c r="F689">
        <f>SUMIF(Inputs!A:A,Summaries!E689,Inputs!Q:Q)</f>
        <v>10407</v>
      </c>
    </row>
    <row r="690" spans="2:6" x14ac:dyDescent="0.2">
      <c r="B690" s="174">
        <v>2015</v>
      </c>
      <c r="C690" s="191">
        <f t="shared" ref="C690:C699" si="549">+F690-F689</f>
        <v>163</v>
      </c>
      <c r="D690" s="208">
        <f t="shared" ref="D690:D699" si="550">+C690/F689</f>
        <v>1.5662534832324396E-2</v>
      </c>
      <c r="E690" t="str">
        <f t="shared" si="548"/>
        <v>201512</v>
      </c>
      <c r="F690">
        <f>SUMIF(Inputs!A:A,Summaries!E690,Inputs!Q:Q)</f>
        <v>10570</v>
      </c>
    </row>
    <row r="691" spans="2:6" x14ac:dyDescent="0.2">
      <c r="B691" s="174">
        <v>2016</v>
      </c>
      <c r="C691" s="191">
        <f t="shared" si="549"/>
        <v>160</v>
      </c>
      <c r="D691" s="208">
        <f t="shared" si="550"/>
        <v>1.5137180700094607E-2</v>
      </c>
      <c r="E691" t="str">
        <f t="shared" si="548"/>
        <v>201612</v>
      </c>
      <c r="F691">
        <f>SUMIF(Inputs!A:A,Summaries!E691,Inputs!Q:Q)</f>
        <v>10730</v>
      </c>
    </row>
    <row r="692" spans="2:6" x14ac:dyDescent="0.2">
      <c r="B692" s="174">
        <v>2017</v>
      </c>
      <c r="C692" s="191">
        <f t="shared" si="549"/>
        <v>354</v>
      </c>
      <c r="D692" s="208">
        <f t="shared" si="550"/>
        <v>3.2991612301957129E-2</v>
      </c>
      <c r="E692" t="str">
        <f t="shared" si="548"/>
        <v>201712</v>
      </c>
      <c r="F692">
        <f>SUMIF(Inputs!A:A,Summaries!E692,Inputs!Q:Q)</f>
        <v>11084</v>
      </c>
    </row>
    <row r="693" spans="2:6" x14ac:dyDescent="0.2">
      <c r="B693" s="174">
        <v>2018</v>
      </c>
      <c r="C693" s="191">
        <f t="shared" si="549"/>
        <v>201</v>
      </c>
      <c r="D693" s="208">
        <f t="shared" si="550"/>
        <v>1.8134247564056297E-2</v>
      </c>
      <c r="E693" t="str">
        <f t="shared" si="548"/>
        <v>201812</v>
      </c>
      <c r="F693">
        <f>SUMIF(Inputs!A:A,Summaries!E693,Inputs!Q:Q)</f>
        <v>11285</v>
      </c>
    </row>
    <row r="694" spans="2:6" x14ac:dyDescent="0.2">
      <c r="B694" s="174">
        <v>2019</v>
      </c>
      <c r="C694" s="191">
        <f t="shared" si="549"/>
        <v>75</v>
      </c>
      <c r="D694" s="208">
        <f t="shared" si="550"/>
        <v>6.6459902525476296E-3</v>
      </c>
      <c r="E694" t="str">
        <f t="shared" si="548"/>
        <v>201912</v>
      </c>
      <c r="F694">
        <f>SUMIF(Inputs!A:A,Summaries!E694,Inputs!Q:Q)</f>
        <v>11360</v>
      </c>
    </row>
    <row r="695" spans="2:6" x14ac:dyDescent="0.2">
      <c r="B695" s="174">
        <v>2020</v>
      </c>
      <c r="C695" s="191">
        <f t="shared" si="549"/>
        <v>49</v>
      </c>
      <c r="D695" s="208">
        <f t="shared" si="550"/>
        <v>4.3133802816901412E-3</v>
      </c>
      <c r="E695" t="str">
        <f t="shared" si="548"/>
        <v>202012</v>
      </c>
      <c r="F695">
        <f>SUMIF(Inputs!A:A,Summaries!E695,Inputs!Q:Q)</f>
        <v>11409</v>
      </c>
    </row>
    <row r="696" spans="2:6" x14ac:dyDescent="0.2">
      <c r="B696" s="174">
        <v>2021</v>
      </c>
      <c r="C696" s="191">
        <f t="shared" si="549"/>
        <v>75</v>
      </c>
      <c r="D696" s="208">
        <f t="shared" si="550"/>
        <v>6.5737575598211941E-3</v>
      </c>
      <c r="E696" t="str">
        <f t="shared" si="548"/>
        <v>202112</v>
      </c>
      <c r="F696">
        <f>SUMIF(Inputs!A:A,Summaries!E696,Inputs!Q:Q)</f>
        <v>11484</v>
      </c>
    </row>
    <row r="697" spans="2:6" x14ac:dyDescent="0.2">
      <c r="B697" s="174">
        <v>2022</v>
      </c>
      <c r="C697" s="191">
        <f t="shared" si="549"/>
        <v>76</v>
      </c>
      <c r="D697" s="208">
        <f t="shared" si="550"/>
        <v>6.6179031696273075E-3</v>
      </c>
      <c r="E697" t="str">
        <f t="shared" si="548"/>
        <v>202212</v>
      </c>
      <c r="F697">
        <f>SUMIF(Inputs!A:A,Summaries!E697,Inputs!Q:Q)</f>
        <v>11560</v>
      </c>
    </row>
    <row r="698" spans="2:6" x14ac:dyDescent="0.2">
      <c r="B698" s="174">
        <v>2023</v>
      </c>
      <c r="C698" s="191">
        <f t="shared" si="549"/>
        <v>92</v>
      </c>
      <c r="D698" s="208">
        <f t="shared" si="550"/>
        <v>7.9584775086505195E-3</v>
      </c>
      <c r="E698" t="str">
        <f t="shared" si="548"/>
        <v>202312</v>
      </c>
      <c r="F698">
        <f>+F697+92</f>
        <v>11652</v>
      </c>
    </row>
    <row r="699" spans="2:6" x14ac:dyDescent="0.2">
      <c r="B699" s="174">
        <v>2024</v>
      </c>
      <c r="C699" s="191">
        <f t="shared" si="549"/>
        <v>145</v>
      </c>
      <c r="D699" s="208">
        <f t="shared" si="550"/>
        <v>1.2444215585307243E-2</v>
      </c>
      <c r="E699" t="str">
        <f t="shared" si="548"/>
        <v>202412</v>
      </c>
      <c r="F699">
        <f>+F698+145</f>
        <v>11797</v>
      </c>
    </row>
    <row r="702" spans="2:6" ht="38.25" x14ac:dyDescent="0.2">
      <c r="B702" s="190" t="s">
        <v>281</v>
      </c>
      <c r="C702" s="190" t="s">
        <v>282</v>
      </c>
      <c r="D702" s="190" t="s">
        <v>283</v>
      </c>
      <c r="E702" s="190" t="s">
        <v>40</v>
      </c>
    </row>
    <row r="703" spans="2:6" x14ac:dyDescent="0.2">
      <c r="B703" s="174" t="str">
        <f>+B679</f>
        <v>Residential</v>
      </c>
      <c r="C703" s="191">
        <f>+'Rate Class Energy Model'!H24</f>
        <v>8274.2980345481046</v>
      </c>
      <c r="D703" s="191">
        <f>+'Rate Class Energy Model'!H44</f>
        <v>7994.4928962157883</v>
      </c>
      <c r="E703" s="191">
        <f>+D703-C703</f>
        <v>-279.80513833231635</v>
      </c>
    </row>
    <row r="704" spans="2:6" x14ac:dyDescent="0.2">
      <c r="B704" s="174" t="str">
        <f t="shared" ref="B704:B708" si="551">+B680</f>
        <v>GS&lt;50 kW</v>
      </c>
      <c r="C704" s="191">
        <f>+'Rate Class Energy Model'!I24</f>
        <v>30206.483904607565</v>
      </c>
      <c r="D704" s="191">
        <f>+'Rate Class Energy Model'!I44</f>
        <v>30065.948676188287</v>
      </c>
      <c r="E704" s="191">
        <f t="shared" ref="E704:E708" si="552">+D704-C704</f>
        <v>-140.5352284192777</v>
      </c>
    </row>
    <row r="705" spans="2:5" x14ac:dyDescent="0.2">
      <c r="B705" s="174" t="str">
        <f t="shared" si="551"/>
        <v>GS&gt;50 kW</v>
      </c>
      <c r="C705" s="191">
        <f>+'Rate Class Energy Model'!J24</f>
        <v>1082778.259173136</v>
      </c>
      <c r="D705" s="191">
        <f>+'Rate Class Energy Model'!J44</f>
        <v>1059762.2406008563</v>
      </c>
      <c r="E705" s="191">
        <f t="shared" si="552"/>
        <v>-23016.018572279718</v>
      </c>
    </row>
    <row r="706" spans="2:5" x14ac:dyDescent="0.2">
      <c r="B706" s="174" t="str">
        <f t="shared" si="551"/>
        <v>Street Lighting</v>
      </c>
      <c r="C706" s="191">
        <f>+'Rate Class Energy Model'!K24</f>
        <v>293.13443149980094</v>
      </c>
      <c r="D706" s="191">
        <f>+'Rate Class Energy Model'!K44</f>
        <v>291.68770446126899</v>
      </c>
      <c r="E706" s="191">
        <f t="shared" si="552"/>
        <v>-1.4467270385319466</v>
      </c>
    </row>
    <row r="707" spans="2:5" x14ac:dyDescent="0.2">
      <c r="B707" s="174" t="str">
        <f t="shared" si="551"/>
        <v>Sentinel Lights</v>
      </c>
      <c r="C707" s="191">
        <f>+'Rate Class Energy Model'!L24</f>
        <v>634.29553576317744</v>
      </c>
      <c r="D707" s="191">
        <f>+'Rate Class Energy Model'!L44</f>
        <v>631.38527283522433</v>
      </c>
      <c r="E707" s="191">
        <f t="shared" si="552"/>
        <v>-2.9102629279531129</v>
      </c>
    </row>
    <row r="708" spans="2:5" x14ac:dyDescent="0.2">
      <c r="B708" s="174" t="str">
        <f t="shared" si="551"/>
        <v>USL</v>
      </c>
      <c r="C708" s="191">
        <f>+'Rate Class Energy Model'!M24</f>
        <v>3829.9916856352297</v>
      </c>
      <c r="D708" s="191">
        <f>+'Rate Class Energy Model'!M44</f>
        <v>3800.175838827583</v>
      </c>
      <c r="E708" s="191">
        <f t="shared" si="552"/>
        <v>-29.815846807646722</v>
      </c>
    </row>
    <row r="711" spans="2:5" ht="38.25" x14ac:dyDescent="0.2">
      <c r="B711" s="190" t="s">
        <v>285</v>
      </c>
      <c r="C711" s="190" t="s">
        <v>282</v>
      </c>
      <c r="D711" s="190" t="s">
        <v>283</v>
      </c>
      <c r="E711" s="190" t="s">
        <v>40</v>
      </c>
    </row>
    <row r="712" spans="2:5" x14ac:dyDescent="0.2">
      <c r="B712" s="174" t="str">
        <f>+B703</f>
        <v>Residential</v>
      </c>
      <c r="C712" s="191">
        <f>+'Rate Class Energy Model'!H33</f>
        <v>94221374.619588077</v>
      </c>
      <c r="D712" s="191">
        <f>+'Rate Class Energy Model'!H50</f>
        <v>91035167.80793862</v>
      </c>
      <c r="E712" s="191">
        <f>+D712-C712</f>
        <v>-3186206.8116494566</v>
      </c>
    </row>
    <row r="713" spans="2:5" x14ac:dyDescent="0.2">
      <c r="B713" s="174" t="str">
        <f t="shared" ref="B713:B717" si="553">+B704</f>
        <v>GS&lt;50 kW</v>
      </c>
      <c r="C713" s="191">
        <f>+'Rate Class Energy Model'!I33</f>
        <v>34233745.966155298</v>
      </c>
      <c r="D713" s="191">
        <f>+'Rate Class Energy Model'!I50</f>
        <v>34074473.959383681</v>
      </c>
      <c r="E713" s="191">
        <f t="shared" ref="E713:E717" si="554">+D713-C713</f>
        <v>-159272.00677161664</v>
      </c>
    </row>
    <row r="714" spans="2:5" x14ac:dyDescent="0.2">
      <c r="B714" s="174" t="str">
        <f t="shared" si="553"/>
        <v>GS&gt;50 kW</v>
      </c>
      <c r="C714" s="191">
        <f>+'Rate Class Energy Model'!J33</f>
        <v>134063931.78607029</v>
      </c>
      <c r="D714" s="191">
        <f>+'Rate Class Energy Model'!J50</f>
        <v>131214208.93864504</v>
      </c>
      <c r="E714" s="191">
        <f t="shared" si="554"/>
        <v>-2849722.8474252522</v>
      </c>
    </row>
    <row r="715" spans="2:5" x14ac:dyDescent="0.2">
      <c r="B715" s="174" t="str">
        <f t="shared" si="553"/>
        <v>Street Lighting</v>
      </c>
      <c r="C715" s="191">
        <f>+'Rate Class Energy Model'!K33</f>
        <v>871821.39252327662</v>
      </c>
      <c r="D715" s="191">
        <f>+'Rate Class Energy Model'!K50</f>
        <v>867518.63090335811</v>
      </c>
      <c r="E715" s="191">
        <f t="shared" si="554"/>
        <v>-4302.761619918514</v>
      </c>
    </row>
    <row r="716" spans="2:5" x14ac:dyDescent="0.2">
      <c r="B716" s="174" t="str">
        <f t="shared" si="553"/>
        <v>Sentinel Lights</v>
      </c>
      <c r="C716" s="191">
        <f>+'Rate Class Energy Model'!L33</f>
        <v>99648.051869478732</v>
      </c>
      <c r="D716" s="191">
        <f>+'Rate Class Energy Model'!L50</f>
        <v>99190.848539410261</v>
      </c>
      <c r="E716" s="191">
        <f t="shared" si="554"/>
        <v>-457.20333006847068</v>
      </c>
    </row>
    <row r="717" spans="2:5" x14ac:dyDescent="0.2">
      <c r="B717" s="174" t="str">
        <f t="shared" si="553"/>
        <v>USL</v>
      </c>
      <c r="C717" s="191">
        <f>+'Rate Class Energy Model'!M33</f>
        <v>369018.32083981927</v>
      </c>
      <c r="D717" s="191">
        <f>+'Rate Class Energy Model'!M50</f>
        <v>366145.57472795661</v>
      </c>
      <c r="E717" s="191">
        <f t="shared" si="554"/>
        <v>-2872.7461118626525</v>
      </c>
    </row>
    <row r="720" spans="2:5" ht="38.25" x14ac:dyDescent="0.2">
      <c r="B720" s="190" t="s">
        <v>285</v>
      </c>
      <c r="C720" s="190" t="s">
        <v>282</v>
      </c>
      <c r="D720" s="190" t="s">
        <v>283</v>
      </c>
      <c r="E720" s="190" t="s">
        <v>40</v>
      </c>
    </row>
    <row r="721" spans="2:5" x14ac:dyDescent="0.2">
      <c r="B721" s="174" t="str">
        <f>+B714</f>
        <v>GS&gt;50 kW</v>
      </c>
      <c r="C721" s="191">
        <f>+'Rate Class Load Model'!B13</f>
        <v>316065.55439528805</v>
      </c>
      <c r="D721" s="191">
        <f>+'Rate Class Load Model'!B35</f>
        <v>309007.75157549616</v>
      </c>
      <c r="E721" s="191">
        <f t="shared" ref="E721:E723" si="555">+D721-C721</f>
        <v>-7057.8028197918902</v>
      </c>
    </row>
    <row r="722" spans="2:5" x14ac:dyDescent="0.2">
      <c r="B722" s="174" t="str">
        <f>+B715</f>
        <v>Street Lighting</v>
      </c>
      <c r="C722" s="191">
        <f>+'Rate Class Load Model'!C13</f>
        <v>2445.262047087997</v>
      </c>
      <c r="D722" s="191">
        <f>+'Rate Class Load Model'!C35</f>
        <v>2415.7713744567136</v>
      </c>
      <c r="E722" s="191">
        <f t="shared" si="555"/>
        <v>-29.49067263128336</v>
      </c>
    </row>
    <row r="723" spans="2:5" x14ac:dyDescent="0.2">
      <c r="B723" s="174" t="str">
        <f>+B716</f>
        <v>Sentinel Lights</v>
      </c>
      <c r="C723" s="191">
        <f>+'Rate Class Load Model'!D13</f>
        <v>276.98676570271829</v>
      </c>
      <c r="D723" s="191">
        <f>+'Rate Class Load Model'!D35</f>
        <v>275.71590019869365</v>
      </c>
      <c r="E723" s="191">
        <f t="shared" si="555"/>
        <v>-1.2708655040246413</v>
      </c>
    </row>
  </sheetData>
  <mergeCells count="98">
    <mergeCell ref="J600:K600"/>
    <mergeCell ref="L600:M600"/>
    <mergeCell ref="B618:B619"/>
    <mergeCell ref="C618:D618"/>
    <mergeCell ref="E618:E619"/>
    <mergeCell ref="F618:G618"/>
    <mergeCell ref="H618:I618"/>
    <mergeCell ref="J618:K618"/>
    <mergeCell ref="L618:M618"/>
    <mergeCell ref="B600:B601"/>
    <mergeCell ref="C600:D600"/>
    <mergeCell ref="E600:E601"/>
    <mergeCell ref="F600:G600"/>
    <mergeCell ref="H600:I600"/>
    <mergeCell ref="J564:K564"/>
    <mergeCell ref="L564:M564"/>
    <mergeCell ref="B582:B583"/>
    <mergeCell ref="C582:D582"/>
    <mergeCell ref="E582:E583"/>
    <mergeCell ref="F582:G582"/>
    <mergeCell ref="H582:I582"/>
    <mergeCell ref="J582:K582"/>
    <mergeCell ref="L582:M582"/>
    <mergeCell ref="B564:B565"/>
    <mergeCell ref="C564:D564"/>
    <mergeCell ref="E564:E565"/>
    <mergeCell ref="F564:G564"/>
    <mergeCell ref="H564:I564"/>
    <mergeCell ref="J528:K528"/>
    <mergeCell ref="L528:M528"/>
    <mergeCell ref="B546:B547"/>
    <mergeCell ref="C546:D546"/>
    <mergeCell ref="E546:E547"/>
    <mergeCell ref="F546:G546"/>
    <mergeCell ref="H546:I546"/>
    <mergeCell ref="J546:K546"/>
    <mergeCell ref="L546:M546"/>
    <mergeCell ref="B528:B529"/>
    <mergeCell ref="C528:D528"/>
    <mergeCell ref="E528:E529"/>
    <mergeCell ref="F528:G528"/>
    <mergeCell ref="H528:I528"/>
    <mergeCell ref="J492:K492"/>
    <mergeCell ref="L492:M492"/>
    <mergeCell ref="B510:B511"/>
    <mergeCell ref="C510:D510"/>
    <mergeCell ref="E510:E511"/>
    <mergeCell ref="F510:G510"/>
    <mergeCell ref="H510:I510"/>
    <mergeCell ref="J510:K510"/>
    <mergeCell ref="L510:M510"/>
    <mergeCell ref="B492:B493"/>
    <mergeCell ref="C492:D492"/>
    <mergeCell ref="E492:E493"/>
    <mergeCell ref="F492:G492"/>
    <mergeCell ref="H492:I492"/>
    <mergeCell ref="B48:I48"/>
    <mergeCell ref="L26:M26"/>
    <mergeCell ref="B25:M25"/>
    <mergeCell ref="B26:B27"/>
    <mergeCell ref="E26:F26"/>
    <mergeCell ref="G26:H26"/>
    <mergeCell ref="I26:J26"/>
    <mergeCell ref="C438:D438"/>
    <mergeCell ref="B456:B457"/>
    <mergeCell ref="B232:J232"/>
    <mergeCell ref="H438:I438"/>
    <mergeCell ref="J438:K438"/>
    <mergeCell ref="B438:B439"/>
    <mergeCell ref="E438:E439"/>
    <mergeCell ref="B420:B421"/>
    <mergeCell ref="C420:C421"/>
    <mergeCell ref="D420:D421"/>
    <mergeCell ref="E420:E421"/>
    <mergeCell ref="F420:F421"/>
    <mergeCell ref="G420:G421"/>
    <mergeCell ref="H420:H421"/>
    <mergeCell ref="I420:I421"/>
    <mergeCell ref="J420:J421"/>
    <mergeCell ref="K420:K421"/>
    <mergeCell ref="L420:L421"/>
    <mergeCell ref="M420:M421"/>
    <mergeCell ref="N420:N421"/>
    <mergeCell ref="F438:G438"/>
    <mergeCell ref="L438:M438"/>
    <mergeCell ref="L456:M456"/>
    <mergeCell ref="B474:B475"/>
    <mergeCell ref="C474:D474"/>
    <mergeCell ref="E474:E475"/>
    <mergeCell ref="F474:G474"/>
    <mergeCell ref="H474:I474"/>
    <mergeCell ref="J474:K474"/>
    <mergeCell ref="L474:M474"/>
    <mergeCell ref="C456:D456"/>
    <mergeCell ref="E456:E457"/>
    <mergeCell ref="F456:G456"/>
    <mergeCell ref="H456:I456"/>
    <mergeCell ref="J456:K456"/>
  </mergeCells>
  <phoneticPr fontId="12" type="noConversion"/>
  <pageMargins left="0.7" right="0.7" top="0.75" bottom="0.75" header="0.3" footer="0.3"/>
  <pageSetup scale="26" orientation="landscape" r:id="rId1"/>
  <ignoredErrors>
    <ignoredError sqref="B85:B93 B100:B109 B116:B125 B131:B140 B147:B156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1AC6D-DAA8-46EF-9BE8-07E95E30E78E}">
  <dimension ref="A1:AE169"/>
  <sheetViews>
    <sheetView workbookViewId="0">
      <pane xSplit="3" ySplit="2" topLeftCell="Q115" activePane="bottomRight" state="frozen"/>
      <selection pane="topRight" activeCell="D1" sqref="D1"/>
      <selection pane="bottomLeft" activeCell="A3" sqref="A3"/>
      <selection pane="bottomRight" activeCell="AB128" sqref="AB128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" customWidth="1"/>
    <col min="9" max="9" width="13" style="1" customWidth="1"/>
    <col min="10" max="10" width="12.42578125" style="1" customWidth="1"/>
    <col min="11" max="11" width="14.85546875" style="1" customWidth="1"/>
    <col min="12" max="12" width="11" style="1" customWidth="1"/>
    <col min="13" max="14" width="14.85546875" style="1" customWidth="1"/>
    <col min="15" max="16" width="12.140625" style="25" customWidth="1"/>
    <col min="17" max="17" width="18" customWidth="1"/>
    <col min="18" max="18" width="12.140625" style="25" customWidth="1"/>
    <col min="19" max="19" width="14.42578125" customWidth="1"/>
    <col min="20" max="21" width="12.140625" style="25" customWidth="1"/>
    <col min="22" max="22" width="15.5703125" bestFit="1" customWidth="1"/>
    <col min="23" max="24" width="26.140625" style="98" bestFit="1" customWidth="1"/>
    <col min="25" max="25" width="26.42578125" bestFit="1" customWidth="1"/>
    <col min="26" max="28" width="9.42578125" bestFit="1" customWidth="1"/>
    <col min="29" max="29" width="10.42578125" bestFit="1" customWidth="1"/>
    <col min="31" max="31" width="11.42578125" bestFit="1" customWidth="1"/>
  </cols>
  <sheetData>
    <row r="1" spans="1:31" x14ac:dyDescent="0.2">
      <c r="H1" s="67" t="s">
        <v>103</v>
      </c>
      <c r="J1" s="67" t="s">
        <v>103</v>
      </c>
      <c r="Q1" s="47" t="s">
        <v>63</v>
      </c>
      <c r="S1" s="47" t="s">
        <v>63</v>
      </c>
      <c r="U1" s="25" t="s">
        <v>63</v>
      </c>
      <c r="V1" s="25" t="s">
        <v>63</v>
      </c>
    </row>
    <row r="2" spans="1:31" ht="76.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61" t="s">
        <v>18</v>
      </c>
      <c r="I2" s="61" t="s">
        <v>7</v>
      </c>
      <c r="J2" s="61" t="s">
        <v>67</v>
      </c>
      <c r="K2" s="61" t="s">
        <v>108</v>
      </c>
      <c r="L2" s="61" t="s">
        <v>144</v>
      </c>
      <c r="M2" s="61" t="s">
        <v>70</v>
      </c>
      <c r="N2" s="61" t="s">
        <v>109</v>
      </c>
      <c r="O2" s="62" t="s">
        <v>151</v>
      </c>
      <c r="P2" s="97" t="s">
        <v>117</v>
      </c>
      <c r="Q2" s="89" t="s">
        <v>100</v>
      </c>
      <c r="R2" s="97" t="s">
        <v>118</v>
      </c>
      <c r="S2" s="89" t="s">
        <v>101</v>
      </c>
      <c r="T2" s="97" t="s">
        <v>119</v>
      </c>
      <c r="U2" s="97" t="s">
        <v>120</v>
      </c>
      <c r="V2" s="89" t="s">
        <v>102</v>
      </c>
      <c r="W2" s="99" t="s">
        <v>122</v>
      </c>
      <c r="X2" s="99" t="s">
        <v>121</v>
      </c>
      <c r="Y2" s="89" t="s">
        <v>104</v>
      </c>
      <c r="Z2" s="89" t="s">
        <v>130</v>
      </c>
      <c r="AA2" s="89" t="s">
        <v>123</v>
      </c>
      <c r="AB2" s="89" t="s">
        <v>131</v>
      </c>
      <c r="AC2" s="89" t="s">
        <v>132</v>
      </c>
      <c r="AD2" s="89" t="s">
        <v>133</v>
      </c>
      <c r="AE2" s="110" t="s">
        <v>150</v>
      </c>
    </row>
    <row r="3" spans="1:31" x14ac:dyDescent="0.2">
      <c r="A3" s="3" t="str">
        <f>YEAR(C3)&amp;MONTH(C3)</f>
        <v>20131</v>
      </c>
      <c r="B3" s="49">
        <f>YEAR(C3)</f>
        <v>2013</v>
      </c>
      <c r="C3" s="52">
        <v>41305</v>
      </c>
      <c r="D3" s="53">
        <v>23103232.740000002</v>
      </c>
      <c r="E3" s="54">
        <v>624.50000000000011</v>
      </c>
      <c r="F3" s="54">
        <v>0</v>
      </c>
      <c r="G3" s="53">
        <v>31</v>
      </c>
      <c r="H3" s="53">
        <v>0</v>
      </c>
      <c r="I3" s="53">
        <v>352</v>
      </c>
      <c r="J3" s="53">
        <v>0</v>
      </c>
      <c r="K3" s="55">
        <v>45.3</v>
      </c>
      <c r="L3" s="53">
        <v>11403</v>
      </c>
      <c r="M3" s="53">
        <v>1</v>
      </c>
      <c r="N3" s="94">
        <v>676.6</v>
      </c>
      <c r="O3" s="56">
        <v>144.98936781896037</v>
      </c>
      <c r="P3" s="98">
        <v>8299305.4854743835</v>
      </c>
      <c r="Q3">
        <v>10152</v>
      </c>
      <c r="R3" s="98">
        <v>3477851.4950427036</v>
      </c>
      <c r="S3">
        <v>1128</v>
      </c>
      <c r="T3" s="98">
        <v>10663433.937477339</v>
      </c>
      <c r="U3" s="98">
        <v>23511.199999999997</v>
      </c>
      <c r="V3">
        <v>123</v>
      </c>
      <c r="W3" s="98">
        <v>180805.32391947333</v>
      </c>
      <c r="X3" s="98">
        <v>392.86</v>
      </c>
      <c r="Y3" s="98">
        <v>2840</v>
      </c>
      <c r="Z3" s="98">
        <v>9028.3771541246933</v>
      </c>
      <c r="AA3" s="98">
        <v>24.5</v>
      </c>
      <c r="AB3" s="98">
        <v>156</v>
      </c>
      <c r="AC3" s="98">
        <v>30985.218331584128</v>
      </c>
      <c r="AD3" s="98">
        <v>104</v>
      </c>
      <c r="AE3" s="58"/>
    </row>
    <row r="4" spans="1:31" x14ac:dyDescent="0.2">
      <c r="A4" s="3" t="str">
        <f t="shared" ref="A4:A67" si="0">YEAR(C4)&amp;MONTH(C4)</f>
        <v>20132</v>
      </c>
      <c r="B4" s="49">
        <f t="shared" ref="B4:B67" si="1">YEAR(C4)</f>
        <v>2013</v>
      </c>
      <c r="C4" s="52">
        <v>41333</v>
      </c>
      <c r="D4" s="53">
        <v>21143805.780000001</v>
      </c>
      <c r="E4" s="54">
        <v>631.49999999999989</v>
      </c>
      <c r="F4" s="54">
        <v>0</v>
      </c>
      <c r="G4" s="53">
        <v>28</v>
      </c>
      <c r="H4" s="53">
        <v>0</v>
      </c>
      <c r="I4" s="53">
        <v>304</v>
      </c>
      <c r="J4" s="53">
        <v>0</v>
      </c>
      <c r="K4" s="55">
        <v>48.4</v>
      </c>
      <c r="L4" s="53">
        <v>11403</v>
      </c>
      <c r="M4" s="53">
        <v>2</v>
      </c>
      <c r="N4" s="94">
        <v>677.5</v>
      </c>
      <c r="O4" s="56">
        <v>145.14551144798114</v>
      </c>
      <c r="P4" s="98">
        <v>7324970.2810308291</v>
      </c>
      <c r="Q4">
        <v>10156</v>
      </c>
      <c r="R4" s="98">
        <v>3146623.1619047164</v>
      </c>
      <c r="S4">
        <v>1123</v>
      </c>
      <c r="T4" s="98">
        <v>9238258.5930805635</v>
      </c>
      <c r="U4" s="98">
        <v>22914.14</v>
      </c>
      <c r="V4">
        <v>124</v>
      </c>
      <c r="W4" s="98">
        <v>164233.32697261716</v>
      </c>
      <c r="X4" s="98">
        <v>392.86</v>
      </c>
      <c r="Y4">
        <v>2845</v>
      </c>
      <c r="Z4" s="98">
        <v>8154.66757937896</v>
      </c>
      <c r="AA4" s="98">
        <v>24.5</v>
      </c>
      <c r="AB4" s="98">
        <v>156</v>
      </c>
      <c r="AC4" s="98">
        <v>27951.462081297046</v>
      </c>
      <c r="AD4" s="98">
        <v>104</v>
      </c>
      <c r="AE4" s="58"/>
    </row>
    <row r="5" spans="1:31" x14ac:dyDescent="0.2">
      <c r="A5" s="3" t="str">
        <f t="shared" si="0"/>
        <v>20133</v>
      </c>
      <c r="B5" s="49">
        <f t="shared" si="1"/>
        <v>2013</v>
      </c>
      <c r="C5" s="52">
        <v>41364</v>
      </c>
      <c r="D5" s="53">
        <v>22021932.285</v>
      </c>
      <c r="E5" s="54">
        <v>554.79999999999995</v>
      </c>
      <c r="F5" s="54">
        <v>0</v>
      </c>
      <c r="G5" s="53">
        <v>31</v>
      </c>
      <c r="H5" s="53">
        <v>1</v>
      </c>
      <c r="I5" s="53">
        <v>320</v>
      </c>
      <c r="J5" s="53">
        <v>0</v>
      </c>
      <c r="K5" s="55">
        <v>49.1</v>
      </c>
      <c r="L5" s="53">
        <v>11415</v>
      </c>
      <c r="M5" s="53">
        <v>3</v>
      </c>
      <c r="N5" s="94">
        <v>678.9</v>
      </c>
      <c r="O5" s="56">
        <v>145.30182323300707</v>
      </c>
      <c r="P5" s="98">
        <v>7486234.7520100428</v>
      </c>
      <c r="Q5">
        <v>10166</v>
      </c>
      <c r="R5" s="98">
        <v>3331914.2994004106</v>
      </c>
      <c r="S5">
        <v>1125</v>
      </c>
      <c r="T5" s="98">
        <v>10154082.041442228</v>
      </c>
      <c r="U5" s="98">
        <v>23053.039999999997</v>
      </c>
      <c r="V5">
        <v>124</v>
      </c>
      <c r="W5" s="98">
        <v>148791.71834748593</v>
      </c>
      <c r="X5" s="98">
        <v>398.32</v>
      </c>
      <c r="Y5">
        <v>2851</v>
      </c>
      <c r="Z5" s="98">
        <v>9028.3545253632346</v>
      </c>
      <c r="AA5" s="98">
        <v>24.5</v>
      </c>
      <c r="AB5" s="98">
        <v>156</v>
      </c>
      <c r="AC5" s="98">
        <v>35997.204635816743</v>
      </c>
      <c r="AD5" s="98">
        <v>104</v>
      </c>
      <c r="AE5" s="58"/>
    </row>
    <row r="6" spans="1:31" x14ac:dyDescent="0.2">
      <c r="A6" s="3" t="str">
        <f t="shared" si="0"/>
        <v>20134</v>
      </c>
      <c r="B6" s="49">
        <f t="shared" si="1"/>
        <v>2013</v>
      </c>
      <c r="C6" s="52">
        <v>41394</v>
      </c>
      <c r="D6" s="53">
        <v>20056096.465</v>
      </c>
      <c r="E6" s="54">
        <v>358.6</v>
      </c>
      <c r="F6" s="54">
        <v>0</v>
      </c>
      <c r="G6" s="53">
        <v>30</v>
      </c>
      <c r="H6" s="53">
        <v>1</v>
      </c>
      <c r="I6" s="53">
        <v>352</v>
      </c>
      <c r="J6" s="53">
        <v>0</v>
      </c>
      <c r="K6" s="55">
        <v>50.2</v>
      </c>
      <c r="L6" s="53">
        <v>11432</v>
      </c>
      <c r="M6" s="53">
        <v>4</v>
      </c>
      <c r="N6" s="94">
        <v>680.9</v>
      </c>
      <c r="O6" s="56">
        <v>145.45830335513068</v>
      </c>
      <c r="P6" s="98">
        <v>6404077.6216677455</v>
      </c>
      <c r="Q6">
        <v>10185</v>
      </c>
      <c r="R6" s="98">
        <v>2912652.1576192575</v>
      </c>
      <c r="S6">
        <v>1123</v>
      </c>
      <c r="T6" s="98">
        <v>9676594.4105746876</v>
      </c>
      <c r="U6" s="98">
        <v>23708.469999999998</v>
      </c>
      <c r="V6">
        <v>124</v>
      </c>
      <c r="W6" s="98">
        <v>124046.32191584771</v>
      </c>
      <c r="X6" s="98">
        <v>398.32</v>
      </c>
      <c r="Y6">
        <v>2851</v>
      </c>
      <c r="Z6" s="98">
        <v>8722.3312557604859</v>
      </c>
      <c r="AA6" s="98">
        <v>24.5</v>
      </c>
      <c r="AB6" s="98">
        <v>156</v>
      </c>
      <c r="AC6" s="98">
        <v>30847.712036276807</v>
      </c>
      <c r="AD6" s="98">
        <v>104</v>
      </c>
      <c r="AE6" s="58"/>
    </row>
    <row r="7" spans="1:31" x14ac:dyDescent="0.2">
      <c r="A7" s="3" t="str">
        <f t="shared" si="0"/>
        <v>20135</v>
      </c>
      <c r="B7" s="49">
        <f t="shared" si="1"/>
        <v>2013</v>
      </c>
      <c r="C7" s="52">
        <v>41425</v>
      </c>
      <c r="D7" s="53">
        <v>19849846.864999998</v>
      </c>
      <c r="E7" s="54">
        <v>109.10000000000001</v>
      </c>
      <c r="F7" s="54">
        <v>23.1</v>
      </c>
      <c r="G7" s="53">
        <v>31</v>
      </c>
      <c r="H7" s="53">
        <v>1</v>
      </c>
      <c r="I7" s="53">
        <v>352</v>
      </c>
      <c r="J7" s="53">
        <v>0</v>
      </c>
      <c r="K7" s="55">
        <v>52.5</v>
      </c>
      <c r="L7" s="53">
        <v>11444</v>
      </c>
      <c r="M7" s="53">
        <v>5</v>
      </c>
      <c r="N7" s="94">
        <v>685.7</v>
      </c>
      <c r="O7" s="56">
        <v>145.6149519956395</v>
      </c>
      <c r="P7" s="98">
        <v>6198027.0308834668</v>
      </c>
      <c r="Q7">
        <v>10199</v>
      </c>
      <c r="R7" s="98">
        <v>2825213.206719344</v>
      </c>
      <c r="S7">
        <v>1121</v>
      </c>
      <c r="T7" s="98">
        <v>10002126.187598797</v>
      </c>
      <c r="U7" s="98">
        <v>24972.269999999997</v>
      </c>
      <c r="V7">
        <v>124</v>
      </c>
      <c r="W7" s="98">
        <v>111813.59603091309</v>
      </c>
      <c r="X7" s="98">
        <v>398.42</v>
      </c>
      <c r="Y7">
        <v>2852</v>
      </c>
      <c r="Z7" s="98">
        <v>8993.0478280425796</v>
      </c>
      <c r="AA7" s="98">
        <v>24.5</v>
      </c>
      <c r="AB7" s="98">
        <v>156</v>
      </c>
      <c r="AC7" s="98">
        <v>30601.767892921911</v>
      </c>
      <c r="AD7" s="98">
        <v>104</v>
      </c>
      <c r="AE7" s="58"/>
    </row>
    <row r="8" spans="1:31" x14ac:dyDescent="0.2">
      <c r="A8" s="3" t="str">
        <f t="shared" si="0"/>
        <v>20136</v>
      </c>
      <c r="B8" s="49">
        <f t="shared" si="1"/>
        <v>2013</v>
      </c>
      <c r="C8" s="52">
        <v>41455</v>
      </c>
      <c r="D8" s="53">
        <v>20147779.544999998</v>
      </c>
      <c r="E8" s="54">
        <v>32.999999999999993</v>
      </c>
      <c r="F8" s="54">
        <v>60</v>
      </c>
      <c r="G8" s="53">
        <v>30</v>
      </c>
      <c r="H8" s="53">
        <v>0</v>
      </c>
      <c r="I8" s="53">
        <v>320</v>
      </c>
      <c r="J8" s="53">
        <v>0</v>
      </c>
      <c r="K8" s="55">
        <v>51.6</v>
      </c>
      <c r="L8" s="53">
        <v>11456</v>
      </c>
      <c r="M8" s="53">
        <v>6</v>
      </c>
      <c r="N8" s="94">
        <v>691.7</v>
      </c>
      <c r="O8" s="56">
        <v>145.77176933601632</v>
      </c>
      <c r="P8" s="98">
        <v>6804011.4743053485</v>
      </c>
      <c r="Q8">
        <v>10211</v>
      </c>
      <c r="R8" s="98">
        <v>2830685.0131193171</v>
      </c>
      <c r="S8">
        <v>1121</v>
      </c>
      <c r="T8" s="98">
        <v>9783039.3209149893</v>
      </c>
      <c r="U8" s="98">
        <v>24561.55</v>
      </c>
      <c r="V8">
        <v>124</v>
      </c>
      <c r="W8" s="98">
        <v>96194.113157141473</v>
      </c>
      <c r="X8" s="98">
        <v>399.62</v>
      </c>
      <c r="Y8">
        <v>2855</v>
      </c>
      <c r="Z8" s="98">
        <v>8702.9727261575354</v>
      </c>
      <c r="AA8" s="98">
        <v>24.5</v>
      </c>
      <c r="AB8" s="98">
        <v>156</v>
      </c>
      <c r="AC8" s="98">
        <v>34513.238240625877</v>
      </c>
      <c r="AD8" s="98">
        <v>101</v>
      </c>
      <c r="AE8" s="58"/>
    </row>
    <row r="9" spans="1:31" x14ac:dyDescent="0.2">
      <c r="A9" s="3" t="str">
        <f t="shared" si="0"/>
        <v>20137</v>
      </c>
      <c r="B9" s="49">
        <f t="shared" si="1"/>
        <v>2013</v>
      </c>
      <c r="C9" s="52">
        <v>41486</v>
      </c>
      <c r="D9" s="53">
        <v>22076027.195</v>
      </c>
      <c r="E9" s="54">
        <v>1.2999999999999998</v>
      </c>
      <c r="F9" s="54">
        <v>131.20000000000002</v>
      </c>
      <c r="G9" s="53">
        <v>31</v>
      </c>
      <c r="H9" s="53">
        <v>0</v>
      </c>
      <c r="I9" s="53">
        <v>352</v>
      </c>
      <c r="J9" s="53">
        <v>0</v>
      </c>
      <c r="K9" s="55">
        <v>53.7</v>
      </c>
      <c r="L9" s="53">
        <v>11469</v>
      </c>
      <c r="M9" s="53">
        <v>7</v>
      </c>
      <c r="N9" s="94">
        <v>697.3</v>
      </c>
      <c r="O9" s="56">
        <v>145.92875555793933</v>
      </c>
      <c r="P9" s="98">
        <v>7662644.1618999653</v>
      </c>
      <c r="Q9">
        <v>10225</v>
      </c>
      <c r="R9" s="98">
        <v>3027887.1316744611</v>
      </c>
      <c r="S9">
        <v>1120</v>
      </c>
      <c r="T9" s="98">
        <v>10152792.355216295</v>
      </c>
      <c r="U9" s="98">
        <v>24841.089999999997</v>
      </c>
      <c r="V9">
        <v>124</v>
      </c>
      <c r="W9" s="98">
        <v>101883.36990745158</v>
      </c>
      <c r="X9" s="98">
        <v>399.9</v>
      </c>
      <c r="Y9">
        <v>2858</v>
      </c>
      <c r="Z9" s="98">
        <v>9009.0283097305328</v>
      </c>
      <c r="AA9" s="98">
        <v>24.5</v>
      </c>
      <c r="AB9" s="98">
        <v>156</v>
      </c>
      <c r="AC9" s="98">
        <v>32442.443946188301</v>
      </c>
      <c r="AD9" s="98">
        <v>104</v>
      </c>
      <c r="AE9" s="58"/>
    </row>
    <row r="10" spans="1:31" x14ac:dyDescent="0.2">
      <c r="A10" s="3" t="str">
        <f t="shared" si="0"/>
        <v>20138</v>
      </c>
      <c r="B10" s="49">
        <f t="shared" si="1"/>
        <v>2013</v>
      </c>
      <c r="C10" s="52">
        <v>41517</v>
      </c>
      <c r="D10" s="53">
        <v>21280806.869999997</v>
      </c>
      <c r="E10" s="54">
        <v>4.4000000000000004</v>
      </c>
      <c r="F10" s="54">
        <v>93.799999999999983</v>
      </c>
      <c r="G10" s="53">
        <v>31</v>
      </c>
      <c r="H10" s="53">
        <v>0</v>
      </c>
      <c r="I10" s="53">
        <v>352</v>
      </c>
      <c r="J10" s="53">
        <v>0</v>
      </c>
      <c r="K10" s="55">
        <v>51.9</v>
      </c>
      <c r="L10" s="53">
        <v>11476</v>
      </c>
      <c r="M10" s="53">
        <v>8</v>
      </c>
      <c r="N10" s="94">
        <v>695.4</v>
      </c>
      <c r="O10" s="56">
        <v>146.08591084328242</v>
      </c>
      <c r="P10" s="98">
        <v>7114578.0112962946</v>
      </c>
      <c r="Q10">
        <v>10233</v>
      </c>
      <c r="R10" s="98">
        <v>2928281.5979401967</v>
      </c>
      <c r="S10">
        <v>1118</v>
      </c>
      <c r="T10" s="98">
        <v>10292470.305631334</v>
      </c>
      <c r="U10" s="98">
        <v>24686.800000000003</v>
      </c>
      <c r="V10">
        <v>125</v>
      </c>
      <c r="W10" s="98">
        <v>122841.95210380688</v>
      </c>
      <c r="X10" s="98">
        <v>399.9</v>
      </c>
      <c r="Y10">
        <v>2858</v>
      </c>
      <c r="Z10" s="98">
        <v>9028.3911022666853</v>
      </c>
      <c r="AA10" s="98">
        <v>24.5</v>
      </c>
      <c r="AB10" s="98">
        <v>156</v>
      </c>
      <c r="AC10" s="98">
        <v>30832.521297040952</v>
      </c>
      <c r="AD10" s="98">
        <v>104</v>
      </c>
      <c r="AE10" s="58"/>
    </row>
    <row r="11" spans="1:31" x14ac:dyDescent="0.2">
      <c r="A11" s="3" t="str">
        <f t="shared" si="0"/>
        <v>20139</v>
      </c>
      <c r="B11" s="49">
        <f t="shared" si="1"/>
        <v>2013</v>
      </c>
      <c r="C11" s="52">
        <v>41547</v>
      </c>
      <c r="D11" s="53">
        <v>19603273.836052112</v>
      </c>
      <c r="E11" s="54">
        <v>86.35</v>
      </c>
      <c r="F11" s="54">
        <v>28.749999999999996</v>
      </c>
      <c r="G11" s="53">
        <v>30</v>
      </c>
      <c r="H11" s="53">
        <v>1</v>
      </c>
      <c r="I11" s="53">
        <v>320</v>
      </c>
      <c r="J11" s="53">
        <v>0</v>
      </c>
      <c r="K11" s="55">
        <v>49.9</v>
      </c>
      <c r="L11" s="53">
        <v>11489</v>
      </c>
      <c r="M11" s="53">
        <v>9</v>
      </c>
      <c r="N11" s="94">
        <v>691.4</v>
      </c>
      <c r="O11" s="56">
        <v>146.2432353741153</v>
      </c>
      <c r="P11" s="98">
        <v>6357845.9560674187</v>
      </c>
      <c r="Q11">
        <v>10244</v>
      </c>
      <c r="R11" s="98">
        <v>2705058.2187674427</v>
      </c>
      <c r="S11">
        <v>1120</v>
      </c>
      <c r="T11" s="98">
        <v>9779626.3578553759</v>
      </c>
      <c r="U11" s="98">
        <v>25169.230000000007</v>
      </c>
      <c r="V11">
        <v>125</v>
      </c>
      <c r="W11" s="98">
        <v>135880.3644690392</v>
      </c>
      <c r="X11" s="98">
        <v>399.9</v>
      </c>
      <c r="Y11">
        <v>2858</v>
      </c>
      <c r="Z11" s="98">
        <v>8737.1397598187359</v>
      </c>
      <c r="AA11" s="98">
        <v>24.5</v>
      </c>
      <c r="AB11" s="98">
        <v>156</v>
      </c>
      <c r="AC11" s="98">
        <v>34061.359894493624</v>
      </c>
      <c r="AD11" s="98">
        <v>104</v>
      </c>
      <c r="AE11" s="58"/>
    </row>
    <row r="12" spans="1:31" x14ac:dyDescent="0.2">
      <c r="A12" s="3" t="str">
        <f t="shared" si="0"/>
        <v>201310</v>
      </c>
      <c r="B12" s="49">
        <f t="shared" si="1"/>
        <v>2013</v>
      </c>
      <c r="C12" s="52">
        <v>41578</v>
      </c>
      <c r="D12" s="53">
        <v>20353929.379999995</v>
      </c>
      <c r="E12" s="54">
        <v>221.8</v>
      </c>
      <c r="F12" s="54">
        <v>0.4</v>
      </c>
      <c r="G12" s="53">
        <v>31</v>
      </c>
      <c r="H12" s="53">
        <v>1</v>
      </c>
      <c r="I12" s="53">
        <v>352</v>
      </c>
      <c r="J12" s="53">
        <v>0</v>
      </c>
      <c r="K12" s="55">
        <v>43.5</v>
      </c>
      <c r="L12" s="53">
        <v>11497</v>
      </c>
      <c r="M12" s="53">
        <v>10</v>
      </c>
      <c r="N12" s="94">
        <v>690.9</v>
      </c>
      <c r="O12" s="56">
        <v>146.4007293327038</v>
      </c>
      <c r="P12" s="98">
        <v>6504813.5307399314</v>
      </c>
      <c r="Q12">
        <v>10250</v>
      </c>
      <c r="R12" s="98">
        <v>2780091.7873717868</v>
      </c>
      <c r="S12">
        <v>1121</v>
      </c>
      <c r="T12" s="98">
        <v>10342838.18713663</v>
      </c>
      <c r="U12" s="98">
        <v>24208.31</v>
      </c>
      <c r="V12">
        <v>126</v>
      </c>
      <c r="W12" s="98">
        <v>160146.8466749356</v>
      </c>
      <c r="X12" s="98">
        <v>399.9</v>
      </c>
      <c r="Y12">
        <v>2858</v>
      </c>
      <c r="Z12" s="98">
        <v>8996.5305712084501</v>
      </c>
      <c r="AA12" s="98">
        <v>24.5</v>
      </c>
      <c r="AB12" s="98">
        <v>156</v>
      </c>
      <c r="AC12" s="98">
        <v>32152.052250251774</v>
      </c>
      <c r="AD12" s="98">
        <v>104</v>
      </c>
      <c r="AE12" s="58"/>
    </row>
    <row r="13" spans="1:31" x14ac:dyDescent="0.2">
      <c r="A13" s="3" t="str">
        <f t="shared" si="0"/>
        <v>201311</v>
      </c>
      <c r="B13" s="49">
        <f t="shared" si="1"/>
        <v>2013</v>
      </c>
      <c r="C13" s="52">
        <v>41608</v>
      </c>
      <c r="D13" s="53">
        <v>21325343.805</v>
      </c>
      <c r="E13" s="54">
        <v>478.20000000000005</v>
      </c>
      <c r="F13" s="54">
        <v>0</v>
      </c>
      <c r="G13" s="53">
        <v>30</v>
      </c>
      <c r="H13" s="53">
        <v>1</v>
      </c>
      <c r="I13" s="53">
        <v>336</v>
      </c>
      <c r="J13" s="53">
        <v>0</v>
      </c>
      <c r="K13" s="55">
        <v>38.9</v>
      </c>
      <c r="L13" s="53">
        <v>11508</v>
      </c>
      <c r="M13" s="53">
        <v>11</v>
      </c>
      <c r="N13" s="94">
        <v>692.1</v>
      </c>
      <c r="O13" s="56">
        <v>146.55839290151005</v>
      </c>
      <c r="P13" s="98">
        <v>7240138.8289722316</v>
      </c>
      <c r="Q13">
        <v>10257</v>
      </c>
      <c r="R13" s="98">
        <v>3004325.1128631318</v>
      </c>
      <c r="S13">
        <v>1125</v>
      </c>
      <c r="T13" s="98">
        <v>9971922.9272017945</v>
      </c>
      <c r="U13" s="98">
        <v>23224.06</v>
      </c>
      <c r="V13">
        <v>126</v>
      </c>
      <c r="W13" s="98">
        <v>177050.31962598985</v>
      </c>
      <c r="X13" s="98">
        <v>399.9</v>
      </c>
      <c r="Y13">
        <v>2858</v>
      </c>
      <c r="Z13" s="98">
        <v>8668.8397035074813</v>
      </c>
      <c r="AA13" s="98">
        <v>23.1</v>
      </c>
      <c r="AB13" s="98">
        <v>156</v>
      </c>
      <c r="AC13" s="98">
        <v>30855.752289360531</v>
      </c>
      <c r="AD13" s="98">
        <v>104</v>
      </c>
      <c r="AE13" s="58"/>
    </row>
    <row r="14" spans="1:31" x14ac:dyDescent="0.2">
      <c r="A14" s="3" t="str">
        <f t="shared" si="0"/>
        <v>201312</v>
      </c>
      <c r="B14" s="49">
        <f t="shared" si="1"/>
        <v>2013</v>
      </c>
      <c r="C14" s="52">
        <v>41639</v>
      </c>
      <c r="D14" s="53">
        <v>22832457.52</v>
      </c>
      <c r="E14" s="54">
        <v>687.9</v>
      </c>
      <c r="F14" s="54">
        <v>0</v>
      </c>
      <c r="G14" s="53">
        <v>31</v>
      </c>
      <c r="H14" s="53">
        <v>0</v>
      </c>
      <c r="I14" s="53">
        <v>320</v>
      </c>
      <c r="J14" s="53">
        <v>0</v>
      </c>
      <c r="K14" s="55">
        <v>39.6</v>
      </c>
      <c r="L14" s="53">
        <v>11516</v>
      </c>
      <c r="M14" s="53">
        <v>12</v>
      </c>
      <c r="N14" s="94">
        <v>687.5</v>
      </c>
      <c r="O14" s="56">
        <v>146.71622626319265</v>
      </c>
      <c r="P14" s="98">
        <v>8805614.6122561023</v>
      </c>
      <c r="Q14">
        <v>10261</v>
      </c>
      <c r="R14" s="98">
        <v>3479318.6093672263</v>
      </c>
      <c r="S14">
        <v>1128</v>
      </c>
      <c r="T14" s="98">
        <v>9827577.8187099509</v>
      </c>
      <c r="U14" s="98">
        <v>23466.760000000002</v>
      </c>
      <c r="V14">
        <v>127</v>
      </c>
      <c r="W14" s="98">
        <v>189290.90735616832</v>
      </c>
      <c r="X14" s="98">
        <v>400.4</v>
      </c>
      <c r="Y14">
        <v>2863</v>
      </c>
      <c r="Z14" s="98">
        <v>8941.8304727779014</v>
      </c>
      <c r="AA14" s="98">
        <v>24.2</v>
      </c>
      <c r="AB14" s="98">
        <v>156</v>
      </c>
      <c r="AC14" s="98">
        <v>33168.799909536428</v>
      </c>
      <c r="AD14" s="98">
        <v>104</v>
      </c>
      <c r="AE14" s="58"/>
    </row>
    <row r="15" spans="1:31" x14ac:dyDescent="0.2">
      <c r="A15" s="3" t="str">
        <f t="shared" si="0"/>
        <v>20141</v>
      </c>
      <c r="B15" s="49">
        <f t="shared" si="1"/>
        <v>2014</v>
      </c>
      <c r="C15" s="52">
        <v>41670</v>
      </c>
      <c r="D15" s="53">
        <v>24790039.349999998</v>
      </c>
      <c r="E15" s="54">
        <v>825.90000000000009</v>
      </c>
      <c r="F15" s="54">
        <v>0</v>
      </c>
      <c r="G15" s="53">
        <v>31</v>
      </c>
      <c r="H15" s="53">
        <v>0</v>
      </c>
      <c r="I15" s="53">
        <v>352</v>
      </c>
      <c r="J15" s="53">
        <v>0</v>
      </c>
      <c r="K15" s="55">
        <v>42.8</v>
      </c>
      <c r="L15" s="53">
        <v>11531</v>
      </c>
      <c r="M15" s="53">
        <v>13</v>
      </c>
      <c r="N15" s="94">
        <v>681.3</v>
      </c>
      <c r="O15" s="56">
        <v>147.04232175221028</v>
      </c>
      <c r="P15" s="98">
        <v>8939452.3500931337</v>
      </c>
      <c r="Q15">
        <v>10275</v>
      </c>
      <c r="R15" s="98">
        <v>3597493.4630245753</v>
      </c>
      <c r="S15">
        <v>1129</v>
      </c>
      <c r="T15" s="98">
        <v>10497065.557404637</v>
      </c>
      <c r="U15" s="98">
        <v>24812.91</v>
      </c>
      <c r="V15">
        <v>127</v>
      </c>
      <c r="W15" s="98">
        <v>184291.222211621</v>
      </c>
      <c r="X15" s="98">
        <v>400.4</v>
      </c>
      <c r="Y15">
        <v>2863</v>
      </c>
      <c r="Z15" s="98">
        <v>8922.5128797026064</v>
      </c>
      <c r="AA15" s="98">
        <v>24.2</v>
      </c>
      <c r="AB15" s="98">
        <v>156</v>
      </c>
      <c r="AC15" s="98">
        <v>30436.961266528291</v>
      </c>
      <c r="AD15" s="98">
        <v>104</v>
      </c>
    </row>
    <row r="16" spans="1:31" x14ac:dyDescent="0.2">
      <c r="A16" s="3" t="str">
        <f t="shared" si="0"/>
        <v>20142</v>
      </c>
      <c r="B16" s="49">
        <f t="shared" si="1"/>
        <v>2014</v>
      </c>
      <c r="C16" s="52">
        <v>41698</v>
      </c>
      <c r="D16" s="53">
        <v>21747839.690000001</v>
      </c>
      <c r="E16" s="54">
        <v>737.09999999999991</v>
      </c>
      <c r="F16" s="54">
        <v>0</v>
      </c>
      <c r="G16" s="53">
        <v>28</v>
      </c>
      <c r="H16" s="53">
        <v>0</v>
      </c>
      <c r="I16" s="53">
        <v>304</v>
      </c>
      <c r="J16" s="53">
        <v>0</v>
      </c>
      <c r="K16" s="55">
        <v>43.8</v>
      </c>
      <c r="L16" s="53">
        <v>11558</v>
      </c>
      <c r="M16" s="53">
        <v>14</v>
      </c>
      <c r="N16" s="94">
        <v>674.5</v>
      </c>
      <c r="O16" s="56">
        <v>147.36914202996238</v>
      </c>
      <c r="P16" s="98">
        <v>7807514.2367685847</v>
      </c>
      <c r="Q16">
        <v>10297</v>
      </c>
      <c r="R16" s="98">
        <v>3266728.5111679998</v>
      </c>
      <c r="S16">
        <v>1137</v>
      </c>
      <c r="T16" s="98">
        <v>9723280.5503809564</v>
      </c>
      <c r="U16" s="98">
        <v>23478.52</v>
      </c>
      <c r="V16">
        <v>124</v>
      </c>
      <c r="W16" s="98">
        <v>168043.65995611105</v>
      </c>
      <c r="X16" s="98">
        <v>401.95</v>
      </c>
      <c r="Y16">
        <v>2863</v>
      </c>
      <c r="Z16" s="98">
        <v>8059.0257548333593</v>
      </c>
      <c r="AA16" s="98">
        <v>24.3</v>
      </c>
      <c r="AB16" s="98">
        <v>152</v>
      </c>
      <c r="AC16" s="98">
        <v>31460.519140194163</v>
      </c>
      <c r="AD16" s="98">
        <v>104</v>
      </c>
    </row>
    <row r="17" spans="1:30" x14ac:dyDescent="0.2">
      <c r="A17" s="3" t="str">
        <f t="shared" si="0"/>
        <v>20143</v>
      </c>
      <c r="B17" s="49">
        <f t="shared" si="1"/>
        <v>2014</v>
      </c>
      <c r="C17" s="52">
        <v>41729</v>
      </c>
      <c r="D17" s="53">
        <v>23077253.934999999</v>
      </c>
      <c r="E17" s="54">
        <v>690.6</v>
      </c>
      <c r="F17" s="54">
        <v>0</v>
      </c>
      <c r="G17" s="53">
        <v>31</v>
      </c>
      <c r="H17" s="53">
        <v>1</v>
      </c>
      <c r="I17" s="53">
        <v>336</v>
      </c>
      <c r="J17" s="53">
        <v>0</v>
      </c>
      <c r="K17" s="55">
        <v>45.3</v>
      </c>
      <c r="L17" s="53">
        <v>11569</v>
      </c>
      <c r="M17" s="53">
        <v>15</v>
      </c>
      <c r="N17" s="94">
        <v>672.4</v>
      </c>
      <c r="O17" s="56">
        <v>147.69668870738414</v>
      </c>
      <c r="P17" s="98">
        <v>7878150.6274170019</v>
      </c>
      <c r="Q17">
        <v>10303</v>
      </c>
      <c r="R17" s="98">
        <v>3408853.8166851988</v>
      </c>
      <c r="S17">
        <v>1139</v>
      </c>
      <c r="T17" s="98">
        <v>10769405.697423337</v>
      </c>
      <c r="U17" s="98">
        <v>23394.880000000001</v>
      </c>
      <c r="V17">
        <v>127</v>
      </c>
      <c r="W17" s="98">
        <v>150195.57294151324</v>
      </c>
      <c r="X17" s="98">
        <v>401.95</v>
      </c>
      <c r="Y17">
        <v>2890</v>
      </c>
      <c r="Z17" s="98">
        <v>8922.4770673463572</v>
      </c>
      <c r="AA17" s="98">
        <v>24.2</v>
      </c>
      <c r="AB17" s="98">
        <v>152</v>
      </c>
      <c r="AC17" s="98">
        <v>35665.834435100223</v>
      </c>
      <c r="AD17" s="98">
        <v>104</v>
      </c>
    </row>
    <row r="18" spans="1:30" x14ac:dyDescent="0.2">
      <c r="A18" s="3" t="str">
        <f t="shared" si="0"/>
        <v>20144</v>
      </c>
      <c r="B18" s="49">
        <f t="shared" si="1"/>
        <v>2014</v>
      </c>
      <c r="C18" s="52">
        <v>41759</v>
      </c>
      <c r="D18" s="53">
        <v>20129764.705000002</v>
      </c>
      <c r="E18" s="54">
        <v>356.90000000000003</v>
      </c>
      <c r="F18" s="54">
        <v>0</v>
      </c>
      <c r="G18" s="53">
        <v>30</v>
      </c>
      <c r="H18" s="53">
        <v>1</v>
      </c>
      <c r="I18" s="53">
        <v>336</v>
      </c>
      <c r="J18" s="53">
        <v>0</v>
      </c>
      <c r="K18" s="55">
        <v>46.4</v>
      </c>
      <c r="L18" s="53">
        <v>11580</v>
      </c>
      <c r="M18" s="53">
        <v>16</v>
      </c>
      <c r="N18" s="94">
        <v>671.8</v>
      </c>
      <c r="O18" s="56">
        <v>148.02496339899133</v>
      </c>
      <c r="P18" s="98">
        <v>6513954.0160358921</v>
      </c>
      <c r="Q18">
        <v>10310</v>
      </c>
      <c r="R18" s="98">
        <v>2866238.3052444388</v>
      </c>
      <c r="S18">
        <v>1143</v>
      </c>
      <c r="T18" s="98">
        <v>9634454.7173118498</v>
      </c>
      <c r="U18" s="98">
        <v>23198.090000000004</v>
      </c>
      <c r="V18">
        <v>127</v>
      </c>
      <c r="W18" s="98">
        <v>125220.0362560824</v>
      </c>
      <c r="X18" s="98">
        <v>401.95</v>
      </c>
      <c r="Y18">
        <v>2890</v>
      </c>
      <c r="Z18" s="98">
        <v>8634.6657216459698</v>
      </c>
      <c r="AA18" s="98">
        <v>24.2</v>
      </c>
      <c r="AB18" s="98">
        <v>152</v>
      </c>
      <c r="AC18" s="98">
        <v>31293.885806970415</v>
      </c>
      <c r="AD18" s="98">
        <v>104</v>
      </c>
    </row>
    <row r="19" spans="1:30" x14ac:dyDescent="0.2">
      <c r="A19" s="3" t="str">
        <f t="shared" si="0"/>
        <v>20145</v>
      </c>
      <c r="B19" s="49">
        <f t="shared" si="1"/>
        <v>2014</v>
      </c>
      <c r="C19" s="52">
        <v>41790</v>
      </c>
      <c r="D19" s="53">
        <v>19632003.695</v>
      </c>
      <c r="E19" s="54">
        <v>132.10000000000005</v>
      </c>
      <c r="F19" s="54">
        <v>11.9</v>
      </c>
      <c r="G19" s="53">
        <v>31</v>
      </c>
      <c r="H19" s="53">
        <v>1</v>
      </c>
      <c r="I19" s="53">
        <v>336</v>
      </c>
      <c r="J19" s="53">
        <v>0</v>
      </c>
      <c r="K19" s="55">
        <v>48.2</v>
      </c>
      <c r="L19" s="53">
        <v>11597</v>
      </c>
      <c r="M19" s="53">
        <v>17</v>
      </c>
      <c r="N19" s="94">
        <v>681.8</v>
      </c>
      <c r="O19" s="56">
        <v>148.35396772288814</v>
      </c>
      <c r="P19" s="98">
        <v>6169578.8876885222</v>
      </c>
      <c r="Q19">
        <v>10329</v>
      </c>
      <c r="R19" s="98">
        <v>2803826.8556976961</v>
      </c>
      <c r="S19">
        <v>1140</v>
      </c>
      <c r="T19" s="98">
        <v>10011650.943509016</v>
      </c>
      <c r="U19" s="98">
        <v>24596.710000000003</v>
      </c>
      <c r="V19">
        <v>128</v>
      </c>
      <c r="W19" s="98">
        <v>112994.16086251313</v>
      </c>
      <c r="X19" s="98">
        <v>401.95</v>
      </c>
      <c r="Y19">
        <v>2895</v>
      </c>
      <c r="Z19" s="98">
        <v>8925.3176496244887</v>
      </c>
      <c r="AA19" s="98">
        <v>24.2</v>
      </c>
      <c r="AB19" s="98">
        <v>152</v>
      </c>
      <c r="AC19" s="98">
        <v>30783.754003843704</v>
      </c>
      <c r="AD19" s="98">
        <v>104</v>
      </c>
    </row>
    <row r="20" spans="1:30" x14ac:dyDescent="0.2">
      <c r="A20" s="3" t="str">
        <f t="shared" si="0"/>
        <v>20146</v>
      </c>
      <c r="B20" s="49">
        <f t="shared" si="1"/>
        <v>2014</v>
      </c>
      <c r="C20" s="52">
        <v>41820</v>
      </c>
      <c r="D20" s="53">
        <v>20417295.370000001</v>
      </c>
      <c r="E20" s="54">
        <v>14.1</v>
      </c>
      <c r="F20" s="54">
        <v>68.099999999999994</v>
      </c>
      <c r="G20" s="53">
        <v>30</v>
      </c>
      <c r="H20" s="53">
        <v>0</v>
      </c>
      <c r="I20" s="53">
        <v>336</v>
      </c>
      <c r="J20" s="53">
        <v>0</v>
      </c>
      <c r="K20" s="55">
        <v>45.4</v>
      </c>
      <c r="L20" s="53">
        <v>11603</v>
      </c>
      <c r="M20" s="53">
        <v>18</v>
      </c>
      <c r="N20" s="94">
        <v>696.4</v>
      </c>
      <c r="O20" s="56">
        <v>148.68370330077519</v>
      </c>
      <c r="P20" s="98">
        <v>6416024.4975644927</v>
      </c>
      <c r="Q20">
        <v>10333</v>
      </c>
      <c r="R20" s="98">
        <v>2764523.9252690719</v>
      </c>
      <c r="S20">
        <v>1141</v>
      </c>
      <c r="T20" s="98">
        <v>10212388.479525618</v>
      </c>
      <c r="U20" s="98">
        <v>24659.699999999997</v>
      </c>
      <c r="V20">
        <v>129</v>
      </c>
      <c r="W20" s="98">
        <v>97264.736189294912</v>
      </c>
      <c r="X20" s="98">
        <v>403.36</v>
      </c>
      <c r="Y20">
        <v>2895</v>
      </c>
      <c r="Z20" s="98">
        <v>8644.0579552114741</v>
      </c>
      <c r="AA20" s="98">
        <v>24.2</v>
      </c>
      <c r="AB20" s="98">
        <v>152</v>
      </c>
      <c r="AC20" s="98">
        <v>34369.020131666839</v>
      </c>
      <c r="AD20" s="98">
        <v>104</v>
      </c>
    </row>
    <row r="21" spans="1:30" x14ac:dyDescent="0.2">
      <c r="A21" s="3" t="str">
        <f t="shared" si="0"/>
        <v>20147</v>
      </c>
      <c r="B21" s="49">
        <f t="shared" si="1"/>
        <v>2014</v>
      </c>
      <c r="C21" s="52">
        <v>41851</v>
      </c>
      <c r="D21" s="53">
        <v>20942891.695</v>
      </c>
      <c r="E21" s="54">
        <v>4</v>
      </c>
      <c r="F21" s="54">
        <v>71</v>
      </c>
      <c r="G21" s="53">
        <v>31</v>
      </c>
      <c r="H21" s="53">
        <v>0</v>
      </c>
      <c r="I21" s="53">
        <v>352</v>
      </c>
      <c r="J21" s="53">
        <v>0</v>
      </c>
      <c r="K21" s="55">
        <v>45.6</v>
      </c>
      <c r="L21" s="53">
        <v>11623</v>
      </c>
      <c r="M21" s="53">
        <v>19</v>
      </c>
      <c r="N21" s="94">
        <v>707.9</v>
      </c>
      <c r="O21" s="56">
        <v>149.0141717579576</v>
      </c>
      <c r="P21" s="98">
        <v>6897691.8560415478</v>
      </c>
      <c r="Q21">
        <v>10352</v>
      </c>
      <c r="R21" s="98">
        <v>2786860.6213146625</v>
      </c>
      <c r="S21">
        <v>1139</v>
      </c>
      <c r="T21" s="98">
        <v>10436306.319906021</v>
      </c>
      <c r="U21" s="98">
        <v>24910.070000000007</v>
      </c>
      <c r="V21">
        <v>132</v>
      </c>
      <c r="W21" s="98">
        <v>102925.60824348824</v>
      </c>
      <c r="X21" s="98">
        <v>403.36</v>
      </c>
      <c r="Y21">
        <v>2900</v>
      </c>
      <c r="Z21" s="98">
        <v>8933.5901539320039</v>
      </c>
      <c r="AA21" s="98">
        <v>23.6</v>
      </c>
      <c r="AB21" s="98">
        <v>152</v>
      </c>
      <c r="AC21" s="98">
        <v>32468.127520066337</v>
      </c>
      <c r="AD21" s="98">
        <v>104</v>
      </c>
    </row>
    <row r="22" spans="1:30" x14ac:dyDescent="0.2">
      <c r="A22" s="3" t="str">
        <f t="shared" si="0"/>
        <v>20148</v>
      </c>
      <c r="B22" s="49">
        <f t="shared" si="1"/>
        <v>2014</v>
      </c>
      <c r="C22" s="52">
        <v>41882</v>
      </c>
      <c r="D22" s="53">
        <v>20954818.989999998</v>
      </c>
      <c r="E22" s="54">
        <v>8.7999999999999989</v>
      </c>
      <c r="F22" s="54">
        <v>81.799999999999983</v>
      </c>
      <c r="G22" s="53">
        <v>31</v>
      </c>
      <c r="H22" s="53">
        <v>0</v>
      </c>
      <c r="I22" s="53">
        <v>336</v>
      </c>
      <c r="J22" s="53">
        <v>0</v>
      </c>
      <c r="K22" s="55">
        <v>45.4</v>
      </c>
      <c r="L22" s="53">
        <v>11640</v>
      </c>
      <c r="M22" s="53">
        <v>20</v>
      </c>
      <c r="N22" s="94">
        <v>712</v>
      </c>
      <c r="O22" s="56">
        <v>149.34537472335285</v>
      </c>
      <c r="P22" s="98">
        <v>6802676.8615462631</v>
      </c>
      <c r="Q22">
        <v>10365</v>
      </c>
      <c r="R22" s="98">
        <v>2736195.7668262743</v>
      </c>
      <c r="S22">
        <v>1138</v>
      </c>
      <c r="T22" s="98">
        <v>10429467.251014408</v>
      </c>
      <c r="U22" s="98">
        <v>24753.820000000003</v>
      </c>
      <c r="V22">
        <v>137</v>
      </c>
      <c r="W22" s="98">
        <v>124105.72464459499</v>
      </c>
      <c r="X22" s="98">
        <v>403.54999999999995</v>
      </c>
      <c r="Y22">
        <v>2905</v>
      </c>
      <c r="Z22" s="98">
        <v>8933.5501040906038</v>
      </c>
      <c r="AA22" s="98">
        <v>24.1</v>
      </c>
      <c r="AB22" s="98">
        <v>152</v>
      </c>
      <c r="AC22" s="98">
        <v>31191.597537191905</v>
      </c>
      <c r="AD22" s="98">
        <v>104</v>
      </c>
    </row>
    <row r="23" spans="1:30" x14ac:dyDescent="0.2">
      <c r="A23" s="3" t="str">
        <f t="shared" si="0"/>
        <v>20149</v>
      </c>
      <c r="B23" s="49">
        <f t="shared" si="1"/>
        <v>2014</v>
      </c>
      <c r="C23" s="52">
        <v>41912</v>
      </c>
      <c r="D23" s="53">
        <v>20036155.765000001</v>
      </c>
      <c r="E23" s="54">
        <v>69.700000000000017</v>
      </c>
      <c r="F23" s="54">
        <v>30.099999999999998</v>
      </c>
      <c r="G23" s="53">
        <v>30</v>
      </c>
      <c r="H23" s="53">
        <v>1</v>
      </c>
      <c r="I23" s="53">
        <v>336</v>
      </c>
      <c r="J23" s="53">
        <v>0</v>
      </c>
      <c r="K23" s="55">
        <v>46.5</v>
      </c>
      <c r="L23" s="53">
        <v>11655</v>
      </c>
      <c r="M23" s="53">
        <v>21</v>
      </c>
      <c r="N23" s="94">
        <v>713</v>
      </c>
      <c r="O23" s="56">
        <v>149.67731382949896</v>
      </c>
      <c r="P23" s="98">
        <v>6227865.5993509563</v>
      </c>
      <c r="Q23">
        <v>10380</v>
      </c>
      <c r="R23" s="98">
        <v>2545225.6643807525</v>
      </c>
      <c r="S23">
        <v>1139</v>
      </c>
      <c r="T23" s="98">
        <v>10413266.651937125</v>
      </c>
      <c r="U23" s="98">
        <v>26205.37</v>
      </c>
      <c r="V23">
        <v>136</v>
      </c>
      <c r="W23" s="98">
        <v>136741.074324969</v>
      </c>
      <c r="X23" s="98">
        <v>401.94</v>
      </c>
      <c r="Y23">
        <v>2911</v>
      </c>
      <c r="Z23" s="98">
        <v>8645.4093214886143</v>
      </c>
      <c r="AA23" s="98">
        <v>24.1</v>
      </c>
      <c r="AB23" s="98">
        <v>152</v>
      </c>
      <c r="AC23" s="98">
        <v>33711.57505041964</v>
      </c>
      <c r="AD23" s="98">
        <v>104</v>
      </c>
    </row>
    <row r="24" spans="1:30" x14ac:dyDescent="0.2">
      <c r="A24" s="3" t="str">
        <f t="shared" si="0"/>
        <v>201410</v>
      </c>
      <c r="B24" s="49">
        <f t="shared" si="1"/>
        <v>2014</v>
      </c>
      <c r="C24" s="52">
        <v>41943</v>
      </c>
      <c r="D24" s="53">
        <v>20750967.593591224</v>
      </c>
      <c r="E24" s="54">
        <v>224.30000000000004</v>
      </c>
      <c r="F24" s="54">
        <v>1.3</v>
      </c>
      <c r="G24" s="53">
        <v>31</v>
      </c>
      <c r="H24" s="53">
        <v>1</v>
      </c>
      <c r="I24" s="53">
        <v>352</v>
      </c>
      <c r="J24" s="53">
        <v>0</v>
      </c>
      <c r="K24" s="55">
        <v>39.799999999999997</v>
      </c>
      <c r="L24" s="53">
        <v>11666</v>
      </c>
      <c r="M24" s="53">
        <v>22</v>
      </c>
      <c r="N24" s="94">
        <v>716.9</v>
      </c>
      <c r="O24" s="56">
        <v>150.00999071256246</v>
      </c>
      <c r="P24" s="98">
        <v>6529909.7891168203</v>
      </c>
      <c r="Q24">
        <v>10386</v>
      </c>
      <c r="R24" s="98">
        <v>2605474.841431282</v>
      </c>
      <c r="S24">
        <v>1140</v>
      </c>
      <c r="T24" s="98">
        <v>10493181.563543459</v>
      </c>
      <c r="U24" s="98">
        <v>28087.529999999995</v>
      </c>
      <c r="V24">
        <v>140</v>
      </c>
      <c r="W24" s="98">
        <v>161315.71414941325</v>
      </c>
      <c r="X24" s="98">
        <v>402.34</v>
      </c>
      <c r="Y24">
        <v>2911</v>
      </c>
      <c r="Z24" s="98">
        <v>8933.6221325664155</v>
      </c>
      <c r="AA24" s="98">
        <v>24.1</v>
      </c>
      <c r="AB24" s="98">
        <v>152</v>
      </c>
      <c r="AC24" s="98">
        <v>31819.637330936548</v>
      </c>
      <c r="AD24" s="98">
        <v>104</v>
      </c>
    </row>
    <row r="25" spans="1:30" x14ac:dyDescent="0.2">
      <c r="A25" s="3" t="str">
        <f t="shared" si="0"/>
        <v>201411</v>
      </c>
      <c r="B25" s="49">
        <f t="shared" si="1"/>
        <v>2014</v>
      </c>
      <c r="C25" s="52">
        <v>41973</v>
      </c>
      <c r="D25" s="53">
        <v>21634719.905000001</v>
      </c>
      <c r="E25" s="54">
        <v>482.1</v>
      </c>
      <c r="F25" s="54">
        <v>0</v>
      </c>
      <c r="G25" s="53">
        <v>30</v>
      </c>
      <c r="H25" s="53">
        <v>1</v>
      </c>
      <c r="I25" s="53">
        <v>320</v>
      </c>
      <c r="J25" s="53">
        <v>0</v>
      </c>
      <c r="K25" s="55">
        <v>36.4</v>
      </c>
      <c r="L25" s="53">
        <v>11669</v>
      </c>
      <c r="M25" s="53">
        <v>23</v>
      </c>
      <c r="N25" s="94">
        <v>714.5</v>
      </c>
      <c r="O25" s="56">
        <v>150.34340701234646</v>
      </c>
      <c r="P25" s="98">
        <v>7206468.1436634045</v>
      </c>
      <c r="Q25">
        <v>10393</v>
      </c>
      <c r="R25" s="98">
        <v>2844497.9177696966</v>
      </c>
      <c r="S25">
        <v>1137</v>
      </c>
      <c r="T25" s="98">
        <v>10396680.523226123</v>
      </c>
      <c r="U25" s="98">
        <v>21394.71</v>
      </c>
      <c r="V25">
        <v>139</v>
      </c>
      <c r="W25" s="98">
        <v>178337.44871672557</v>
      </c>
      <c r="X25" s="98">
        <v>402.34</v>
      </c>
      <c r="Y25">
        <v>2911</v>
      </c>
      <c r="Z25" s="98">
        <v>8645.4009951996777</v>
      </c>
      <c r="AA25" s="98">
        <v>24.1</v>
      </c>
      <c r="AB25" s="98">
        <v>151</v>
      </c>
      <c r="AC25" s="98">
        <v>30540.595420795111</v>
      </c>
      <c r="AD25" s="98">
        <v>104</v>
      </c>
    </row>
    <row r="26" spans="1:30" x14ac:dyDescent="0.2">
      <c r="A26" s="3" t="str">
        <f t="shared" si="0"/>
        <v>201412</v>
      </c>
      <c r="B26" s="49">
        <f t="shared" si="1"/>
        <v>2014</v>
      </c>
      <c r="C26" s="52">
        <v>42004</v>
      </c>
      <c r="D26" s="53">
        <v>22349924.59</v>
      </c>
      <c r="E26" s="54">
        <v>557.29999999999995</v>
      </c>
      <c r="F26" s="54">
        <v>0</v>
      </c>
      <c r="G26" s="53">
        <v>31</v>
      </c>
      <c r="H26" s="53">
        <v>0</v>
      </c>
      <c r="I26" s="53">
        <v>336</v>
      </c>
      <c r="J26" s="53">
        <v>0</v>
      </c>
      <c r="K26" s="55">
        <v>36.1</v>
      </c>
      <c r="L26" s="53">
        <v>11685</v>
      </c>
      <c r="M26" s="53">
        <v>24</v>
      </c>
      <c r="N26" s="94">
        <v>707.8</v>
      </c>
      <c r="O26" s="56">
        <v>150.67756437229883</v>
      </c>
      <c r="P26" s="98">
        <v>8427271.5192839336</v>
      </c>
      <c r="Q26">
        <v>10407</v>
      </c>
      <c r="R26" s="98">
        <v>3189633.3607349866</v>
      </c>
      <c r="S26">
        <v>1139</v>
      </c>
      <c r="T26" s="98">
        <v>10004733.549310753</v>
      </c>
      <c r="U26" s="98">
        <v>24016.04</v>
      </c>
      <c r="V26">
        <v>139</v>
      </c>
      <c r="W26" s="98">
        <v>190206.57380020994</v>
      </c>
      <c r="X26" s="98">
        <v>401.84</v>
      </c>
      <c r="Y26">
        <v>2915</v>
      </c>
      <c r="Z26" s="98">
        <v>8933.5680235689742</v>
      </c>
      <c r="AA26" s="98">
        <v>24.1</v>
      </c>
      <c r="AB26" s="98">
        <v>151</v>
      </c>
      <c r="AC26" s="98">
        <v>32501.854085674775</v>
      </c>
      <c r="AD26" s="98">
        <v>104</v>
      </c>
    </row>
    <row r="27" spans="1:30" x14ac:dyDescent="0.2">
      <c r="A27" s="3" t="str">
        <f t="shared" si="0"/>
        <v>20151</v>
      </c>
      <c r="B27" s="49">
        <f t="shared" si="1"/>
        <v>2015</v>
      </c>
      <c r="C27" s="52">
        <v>42035</v>
      </c>
      <c r="D27" s="53">
        <v>24334160.370000001</v>
      </c>
      <c r="E27" s="54">
        <v>792.39999999999975</v>
      </c>
      <c r="F27" s="54">
        <v>0</v>
      </c>
      <c r="G27" s="53">
        <v>31</v>
      </c>
      <c r="H27" s="53">
        <v>0</v>
      </c>
      <c r="I27" s="53">
        <v>336</v>
      </c>
      <c r="J27" s="53">
        <v>0</v>
      </c>
      <c r="K27" s="55">
        <v>37.6</v>
      </c>
      <c r="L27" s="53">
        <v>11706</v>
      </c>
      <c r="M27" s="53">
        <v>25</v>
      </c>
      <c r="N27" s="94">
        <v>699.3</v>
      </c>
      <c r="O27" s="56">
        <v>150.98793548444445</v>
      </c>
      <c r="P27" s="98">
        <v>8777798.2883950304</v>
      </c>
      <c r="Q27">
        <v>10426</v>
      </c>
      <c r="R27" s="98">
        <v>3380881.7015827144</v>
      </c>
      <c r="S27">
        <v>1141</v>
      </c>
      <c r="T27" s="98">
        <v>10750665.369904207</v>
      </c>
      <c r="U27" s="98">
        <v>23821.829999999998</v>
      </c>
      <c r="V27">
        <v>139</v>
      </c>
      <c r="W27" s="98">
        <v>185148.23967178704</v>
      </c>
      <c r="X27" s="98">
        <v>401.76</v>
      </c>
      <c r="Y27">
        <v>2915</v>
      </c>
      <c r="Z27" s="98">
        <v>8919.9119401140142</v>
      </c>
      <c r="AA27" s="98">
        <v>24.1</v>
      </c>
      <c r="AB27" s="98">
        <v>151</v>
      </c>
      <c r="AC27" s="98">
        <v>30275.587304825101</v>
      </c>
      <c r="AD27" s="98">
        <v>99</v>
      </c>
    </row>
    <row r="28" spans="1:30" x14ac:dyDescent="0.2">
      <c r="A28" s="3" t="str">
        <f t="shared" si="0"/>
        <v>20152</v>
      </c>
      <c r="B28" s="49">
        <f t="shared" si="1"/>
        <v>2015</v>
      </c>
      <c r="C28" s="52">
        <v>42063</v>
      </c>
      <c r="D28" s="53">
        <v>22733400.235000003</v>
      </c>
      <c r="E28" s="54">
        <v>856.8</v>
      </c>
      <c r="F28" s="54">
        <v>0</v>
      </c>
      <c r="G28" s="53">
        <v>28</v>
      </c>
      <c r="H28" s="53">
        <v>0</v>
      </c>
      <c r="I28" s="53">
        <v>304</v>
      </c>
      <c r="J28" s="53">
        <v>0</v>
      </c>
      <c r="K28" s="55">
        <v>40.299999999999997</v>
      </c>
      <c r="L28" s="53">
        <v>11720</v>
      </c>
      <c r="M28" s="53">
        <v>26</v>
      </c>
      <c r="N28" s="94">
        <v>694.3</v>
      </c>
      <c r="O28" s="56">
        <v>151.298945910264</v>
      </c>
      <c r="P28" s="98">
        <v>8030902.6386548625</v>
      </c>
      <c r="Q28">
        <v>10441</v>
      </c>
      <c r="R28" s="98">
        <v>3224179.0436825966</v>
      </c>
      <c r="S28">
        <v>1140</v>
      </c>
      <c r="T28" s="98">
        <v>9989033.0659605004</v>
      </c>
      <c r="U28" s="98">
        <v>23802.66</v>
      </c>
      <c r="V28">
        <v>139</v>
      </c>
      <c r="W28" s="98">
        <v>168174.71615303887</v>
      </c>
      <c r="X28" s="98">
        <v>401.76</v>
      </c>
      <c r="Y28">
        <v>2915</v>
      </c>
      <c r="Z28" s="98">
        <v>7973.282547871052</v>
      </c>
      <c r="AA28" s="98">
        <v>24.4</v>
      </c>
      <c r="AB28" s="98">
        <v>150</v>
      </c>
      <c r="AC28" s="98">
        <v>31138.363108848625</v>
      </c>
      <c r="AD28" s="98">
        <v>99</v>
      </c>
    </row>
    <row r="29" spans="1:30" x14ac:dyDescent="0.2">
      <c r="A29" s="3" t="str">
        <f t="shared" si="0"/>
        <v>20153</v>
      </c>
      <c r="B29" s="49">
        <f t="shared" si="1"/>
        <v>2015</v>
      </c>
      <c r="C29" s="52">
        <v>42094</v>
      </c>
      <c r="D29" s="53">
        <v>22719770.995000001</v>
      </c>
      <c r="E29" s="54">
        <v>615.49999999999989</v>
      </c>
      <c r="F29" s="54">
        <v>0</v>
      </c>
      <c r="G29" s="53">
        <v>31</v>
      </c>
      <c r="H29" s="53">
        <v>1</v>
      </c>
      <c r="I29" s="53">
        <v>352</v>
      </c>
      <c r="J29" s="53">
        <v>0</v>
      </c>
      <c r="K29" s="55">
        <v>42.7</v>
      </c>
      <c r="L29" s="53">
        <v>11736</v>
      </c>
      <c r="M29" s="53">
        <v>27</v>
      </c>
      <c r="N29" s="94">
        <v>692.8</v>
      </c>
      <c r="O29" s="56">
        <v>151.61059696663892</v>
      </c>
      <c r="P29" s="98">
        <v>7795811.7665634621</v>
      </c>
      <c r="Q29">
        <v>10457</v>
      </c>
      <c r="R29" s="98">
        <v>3203091.2665557768</v>
      </c>
      <c r="S29">
        <v>1140</v>
      </c>
      <c r="T29" s="98">
        <v>10691111.469518272</v>
      </c>
      <c r="U29" s="98">
        <v>23255.200000000004</v>
      </c>
      <c r="V29">
        <v>139</v>
      </c>
      <c r="W29" s="98">
        <v>150317.91813758234</v>
      </c>
      <c r="X29" s="98">
        <v>401.76</v>
      </c>
      <c r="Y29">
        <v>2915</v>
      </c>
      <c r="Z29" s="98">
        <v>8827.6077800646108</v>
      </c>
      <c r="AA29" s="98">
        <v>23.8</v>
      </c>
      <c r="AB29" s="98">
        <v>150</v>
      </c>
      <c r="AC29" s="98">
        <v>35256.156718960861</v>
      </c>
      <c r="AD29" s="98">
        <v>99</v>
      </c>
    </row>
    <row r="30" spans="1:30" x14ac:dyDescent="0.2">
      <c r="A30" s="3" t="str">
        <f t="shared" si="0"/>
        <v>20154</v>
      </c>
      <c r="B30" s="49">
        <f t="shared" si="1"/>
        <v>2015</v>
      </c>
      <c r="C30" s="52">
        <v>42124</v>
      </c>
      <c r="D30" s="53">
        <v>19884327.555</v>
      </c>
      <c r="E30" s="54">
        <v>313.7</v>
      </c>
      <c r="F30" s="54">
        <v>0</v>
      </c>
      <c r="G30" s="53">
        <v>30</v>
      </c>
      <c r="H30" s="53">
        <v>1</v>
      </c>
      <c r="I30" s="53">
        <v>336</v>
      </c>
      <c r="J30" s="53">
        <v>0</v>
      </c>
      <c r="K30" s="55">
        <v>46.7</v>
      </c>
      <c r="L30" s="53">
        <v>11746</v>
      </c>
      <c r="M30" s="53">
        <v>28</v>
      </c>
      <c r="N30" s="94">
        <v>692.5</v>
      </c>
      <c r="O30" s="56">
        <v>151.92288997316331</v>
      </c>
      <c r="P30" s="98">
        <v>6327575.3603840079</v>
      </c>
      <c r="Q30">
        <v>10473</v>
      </c>
      <c r="R30" s="98">
        <v>2683256.2650962495</v>
      </c>
      <c r="S30">
        <v>1134</v>
      </c>
      <c r="T30" s="98">
        <v>10115676.097966701</v>
      </c>
      <c r="U30" s="98">
        <v>23568.609999999997</v>
      </c>
      <c r="V30">
        <v>139</v>
      </c>
      <c r="W30" s="98">
        <v>125589.07546989791</v>
      </c>
      <c r="X30" s="98">
        <v>402.62</v>
      </c>
      <c r="Y30">
        <v>2924</v>
      </c>
      <c r="Z30" s="98">
        <v>8542.8380607084928</v>
      </c>
      <c r="AA30" s="98">
        <v>23.8</v>
      </c>
      <c r="AB30" s="98">
        <v>151</v>
      </c>
      <c r="AC30" s="98">
        <v>30706.991562964289</v>
      </c>
      <c r="AD30" s="98">
        <v>96</v>
      </c>
    </row>
    <row r="31" spans="1:30" x14ac:dyDescent="0.2">
      <c r="A31" s="3" t="str">
        <f t="shared" si="0"/>
        <v>20155</v>
      </c>
      <c r="B31" s="49">
        <f t="shared" si="1"/>
        <v>2015</v>
      </c>
      <c r="C31" s="52">
        <v>42155</v>
      </c>
      <c r="D31" s="53">
        <v>20081857.650000002</v>
      </c>
      <c r="E31" s="54">
        <v>89.3</v>
      </c>
      <c r="F31" s="54">
        <v>34.1</v>
      </c>
      <c r="G31" s="53">
        <v>31</v>
      </c>
      <c r="H31" s="53">
        <v>1</v>
      </c>
      <c r="I31" s="53">
        <v>320</v>
      </c>
      <c r="J31" s="53">
        <v>0</v>
      </c>
      <c r="K31" s="55">
        <v>46.5</v>
      </c>
      <c r="L31" s="53">
        <v>11765</v>
      </c>
      <c r="M31" s="53">
        <v>29</v>
      </c>
      <c r="N31" s="94">
        <v>699.3</v>
      </c>
      <c r="O31" s="56">
        <v>152.23582625214937</v>
      </c>
      <c r="P31" s="98">
        <v>6241105.0666620452</v>
      </c>
      <c r="Q31">
        <v>10492</v>
      </c>
      <c r="R31" s="98">
        <v>2662329.749730086</v>
      </c>
      <c r="S31">
        <v>1134</v>
      </c>
      <c r="T31" s="98">
        <v>10329421.079181375</v>
      </c>
      <c r="U31" s="98">
        <v>24613.940000000002</v>
      </c>
      <c r="V31">
        <v>139</v>
      </c>
      <c r="W31" s="98">
        <v>113187.53935693159</v>
      </c>
      <c r="X31" s="98">
        <v>402.62</v>
      </c>
      <c r="Y31">
        <v>2924</v>
      </c>
      <c r="Z31" s="98">
        <v>8827.5968759796633</v>
      </c>
      <c r="AA31" s="98">
        <v>23.8</v>
      </c>
      <c r="AB31" s="98">
        <v>151</v>
      </c>
      <c r="AC31" s="98">
        <v>30706.997015006767</v>
      </c>
      <c r="AD31" s="98">
        <v>96</v>
      </c>
    </row>
    <row r="32" spans="1:30" x14ac:dyDescent="0.2">
      <c r="A32" s="3" t="str">
        <f t="shared" si="0"/>
        <v>20156</v>
      </c>
      <c r="B32" s="49">
        <f t="shared" si="1"/>
        <v>2015</v>
      </c>
      <c r="C32" s="52">
        <v>42185</v>
      </c>
      <c r="D32" s="53">
        <v>19967931.074999999</v>
      </c>
      <c r="E32" s="54">
        <v>33.800000000000004</v>
      </c>
      <c r="F32" s="54">
        <v>32.299999999999997</v>
      </c>
      <c r="G32" s="53">
        <v>30</v>
      </c>
      <c r="H32" s="53">
        <v>0</v>
      </c>
      <c r="I32" s="53">
        <v>352</v>
      </c>
      <c r="J32" s="53">
        <v>0</v>
      </c>
      <c r="K32" s="55">
        <v>40.1</v>
      </c>
      <c r="L32" s="53">
        <v>11773</v>
      </c>
      <c r="M32" s="53">
        <v>30</v>
      </c>
      <c r="N32" s="94">
        <v>709.6</v>
      </c>
      <c r="O32" s="56">
        <v>152.54940712863302</v>
      </c>
      <c r="P32" s="98">
        <v>6415659.5806189217</v>
      </c>
      <c r="Q32">
        <v>10499</v>
      </c>
      <c r="R32" s="98">
        <v>2599508.7240229519</v>
      </c>
      <c r="S32">
        <v>1135</v>
      </c>
      <c r="T32" s="98">
        <v>10394135.219641924</v>
      </c>
      <c r="U32" s="98">
        <v>24835.930000000004</v>
      </c>
      <c r="V32">
        <v>139</v>
      </c>
      <c r="W32" s="98">
        <v>97067.035588207218</v>
      </c>
      <c r="X32" s="98">
        <v>402.62</v>
      </c>
      <c r="Y32">
        <v>2924</v>
      </c>
      <c r="Z32" s="98">
        <v>8542.8391511169866</v>
      </c>
      <c r="AA32" s="98">
        <v>23.8</v>
      </c>
      <c r="AB32" s="98">
        <v>151</v>
      </c>
      <c r="AC32" s="98">
        <v>31161.893358049248</v>
      </c>
      <c r="AD32" s="98">
        <v>96</v>
      </c>
    </row>
    <row r="33" spans="1:30" x14ac:dyDescent="0.2">
      <c r="A33" s="3" t="str">
        <f t="shared" si="0"/>
        <v>20157</v>
      </c>
      <c r="B33" s="49">
        <f t="shared" si="1"/>
        <v>2015</v>
      </c>
      <c r="C33" s="52">
        <v>42216</v>
      </c>
      <c r="D33" s="53">
        <v>22033398.199999999</v>
      </c>
      <c r="E33" s="54">
        <v>4</v>
      </c>
      <c r="F33" s="54">
        <v>114.29999999999998</v>
      </c>
      <c r="G33" s="53">
        <v>31</v>
      </c>
      <c r="H33" s="53">
        <v>0</v>
      </c>
      <c r="I33" s="53">
        <v>352</v>
      </c>
      <c r="J33" s="53">
        <v>0</v>
      </c>
      <c r="K33" s="55">
        <v>38.6</v>
      </c>
      <c r="L33" s="53">
        <v>11778</v>
      </c>
      <c r="M33" s="53">
        <v>31</v>
      </c>
      <c r="N33" s="94">
        <v>711.7</v>
      </c>
      <c r="O33" s="56">
        <v>152.86363393037959</v>
      </c>
      <c r="P33" s="98">
        <v>7325380.8326530652</v>
      </c>
      <c r="Q33">
        <v>10510</v>
      </c>
      <c r="R33" s="98">
        <v>2790016.5198710398</v>
      </c>
      <c r="S33">
        <v>1129</v>
      </c>
      <c r="T33" s="98">
        <v>10414182.699464079</v>
      </c>
      <c r="U33" s="98">
        <v>23591.400000000005</v>
      </c>
      <c r="V33">
        <v>139</v>
      </c>
      <c r="W33" s="98">
        <v>102614.09216677799</v>
      </c>
      <c r="X33" s="98">
        <v>402.62</v>
      </c>
      <c r="Y33">
        <v>2926</v>
      </c>
      <c r="Z33" s="98">
        <v>8827.5957855711713</v>
      </c>
      <c r="AA33" s="98">
        <v>23.8</v>
      </c>
      <c r="AB33" s="98">
        <v>151</v>
      </c>
      <c r="AC33" s="98">
        <v>30252.057055624518</v>
      </c>
      <c r="AD33" s="98">
        <v>95</v>
      </c>
    </row>
    <row r="34" spans="1:30" x14ac:dyDescent="0.2">
      <c r="A34" s="3" t="str">
        <f t="shared" si="0"/>
        <v>20158</v>
      </c>
      <c r="B34" s="49">
        <f t="shared" si="1"/>
        <v>2015</v>
      </c>
      <c r="C34" s="52">
        <v>42247</v>
      </c>
      <c r="D34" s="53">
        <v>21201546.775000002</v>
      </c>
      <c r="E34" s="54">
        <v>4.4000000000000004</v>
      </c>
      <c r="F34" s="54">
        <v>88.6</v>
      </c>
      <c r="G34" s="53">
        <v>31</v>
      </c>
      <c r="H34" s="53">
        <v>0</v>
      </c>
      <c r="I34" s="53">
        <v>336</v>
      </c>
      <c r="J34" s="53">
        <v>0</v>
      </c>
      <c r="K34" s="55">
        <v>41.8</v>
      </c>
      <c r="L34" s="53">
        <v>11790</v>
      </c>
      <c r="M34" s="53">
        <v>32</v>
      </c>
      <c r="N34" s="94">
        <v>709.2</v>
      </c>
      <c r="O34" s="56">
        <v>153.17850798788936</v>
      </c>
      <c r="P34" s="98">
        <v>7501900.4575071251</v>
      </c>
      <c r="Q34">
        <v>10520</v>
      </c>
      <c r="R34" s="98">
        <v>2801406.2380644064</v>
      </c>
      <c r="S34">
        <v>1132</v>
      </c>
      <c r="T34" s="98">
        <v>10423176.815289093</v>
      </c>
      <c r="U34" s="98">
        <v>24499.300000000003</v>
      </c>
      <c r="V34">
        <v>138</v>
      </c>
      <c r="W34" s="98">
        <v>123374.91651559966</v>
      </c>
      <c r="X34" s="98">
        <v>401.15</v>
      </c>
      <c r="Y34">
        <v>2926</v>
      </c>
      <c r="Z34" s="98">
        <v>8827.5769920600651</v>
      </c>
      <c r="AA34" s="98">
        <v>23.8</v>
      </c>
      <c r="AB34" s="98">
        <v>151</v>
      </c>
      <c r="AC34" s="98">
        <v>32832.661141930279</v>
      </c>
      <c r="AD34" s="98">
        <v>95</v>
      </c>
    </row>
    <row r="35" spans="1:30" x14ac:dyDescent="0.2">
      <c r="A35" s="3" t="str">
        <f t="shared" si="0"/>
        <v>20159</v>
      </c>
      <c r="B35" s="49">
        <f t="shared" si="1"/>
        <v>2015</v>
      </c>
      <c r="C35" s="52">
        <v>42277</v>
      </c>
      <c r="D35" s="53">
        <v>21227652.564999998</v>
      </c>
      <c r="E35" s="54">
        <v>31.099999999999994</v>
      </c>
      <c r="F35" s="54">
        <v>81.900000000000006</v>
      </c>
      <c r="G35" s="53">
        <v>30</v>
      </c>
      <c r="H35" s="53">
        <v>1</v>
      </c>
      <c r="I35" s="53">
        <v>336</v>
      </c>
      <c r="J35" s="53">
        <v>0</v>
      </c>
      <c r="K35" s="55">
        <v>42.5</v>
      </c>
      <c r="L35" s="53">
        <v>11800</v>
      </c>
      <c r="M35" s="53">
        <v>33</v>
      </c>
      <c r="N35" s="94">
        <v>706.5</v>
      </c>
      <c r="O35" s="56">
        <v>153.4940306344032</v>
      </c>
      <c r="P35" s="98">
        <v>6683734.586670192</v>
      </c>
      <c r="Q35">
        <v>10532</v>
      </c>
      <c r="R35" s="98">
        <v>2587431.182492767</v>
      </c>
      <c r="S35">
        <v>1130</v>
      </c>
      <c r="T35" s="98">
        <v>10523127.561317336</v>
      </c>
      <c r="U35" s="98">
        <v>25648.870000000003</v>
      </c>
      <c r="V35">
        <v>138</v>
      </c>
      <c r="W35" s="98">
        <v>136466.78752027478</v>
      </c>
      <c r="X35" s="98">
        <v>401.15</v>
      </c>
      <c r="Y35">
        <v>2926</v>
      </c>
      <c r="Z35" s="98">
        <v>8542.7717459566029</v>
      </c>
      <c r="AA35" s="98">
        <v>23.8</v>
      </c>
      <c r="AB35" s="98">
        <v>151</v>
      </c>
      <c r="AC35" s="98">
        <v>29366.107941980859</v>
      </c>
      <c r="AD35" s="98">
        <v>95</v>
      </c>
    </row>
    <row r="36" spans="1:30" x14ac:dyDescent="0.2">
      <c r="A36" s="3" t="str">
        <f t="shared" si="0"/>
        <v>201510</v>
      </c>
      <c r="B36" s="49">
        <f t="shared" si="1"/>
        <v>2015</v>
      </c>
      <c r="C36" s="52">
        <v>42308</v>
      </c>
      <c r="D36" s="53">
        <v>20191537.286509268</v>
      </c>
      <c r="E36" s="54">
        <v>249.8</v>
      </c>
      <c r="F36" s="54">
        <v>0</v>
      </c>
      <c r="G36" s="53">
        <v>31</v>
      </c>
      <c r="H36" s="53">
        <v>1</v>
      </c>
      <c r="I36" s="53">
        <v>336</v>
      </c>
      <c r="J36" s="53">
        <v>0</v>
      </c>
      <c r="K36" s="55">
        <v>39.200000000000003</v>
      </c>
      <c r="L36" s="53">
        <v>11810</v>
      </c>
      <c r="M36" s="53">
        <v>34</v>
      </c>
      <c r="N36" s="94">
        <v>712.7</v>
      </c>
      <c r="O36" s="56">
        <v>153.81020320590829</v>
      </c>
      <c r="P36" s="98">
        <v>6344944.6177294478</v>
      </c>
      <c r="Q36">
        <v>10543</v>
      </c>
      <c r="R36" s="98">
        <v>2571091.6907071383</v>
      </c>
      <c r="S36">
        <v>1128</v>
      </c>
      <c r="T36" s="98">
        <v>10403277.960822536</v>
      </c>
      <c r="U36" s="98">
        <v>23667.38</v>
      </c>
      <c r="V36">
        <v>139</v>
      </c>
      <c r="W36" s="98">
        <v>145988.72245014791</v>
      </c>
      <c r="X36" s="98">
        <v>364.25</v>
      </c>
      <c r="Y36">
        <v>2926</v>
      </c>
      <c r="Z36" s="98">
        <v>8827.560403695541</v>
      </c>
      <c r="AA36" s="98">
        <v>23.79</v>
      </c>
      <c r="AB36" s="98">
        <v>151</v>
      </c>
      <c r="AC36" s="98">
        <v>34471.338048723395</v>
      </c>
      <c r="AD36" s="98">
        <v>96</v>
      </c>
    </row>
    <row r="37" spans="1:30" x14ac:dyDescent="0.2">
      <c r="A37" s="3" t="str">
        <f t="shared" si="0"/>
        <v>201511</v>
      </c>
      <c r="B37" s="49">
        <f t="shared" si="1"/>
        <v>2015</v>
      </c>
      <c r="C37" s="52">
        <v>42338</v>
      </c>
      <c r="D37" s="53">
        <v>20615659.954999998</v>
      </c>
      <c r="E37" s="54">
        <v>345</v>
      </c>
      <c r="F37" s="54">
        <v>0</v>
      </c>
      <c r="G37" s="53">
        <v>30</v>
      </c>
      <c r="H37" s="53">
        <v>1</v>
      </c>
      <c r="I37" s="53">
        <v>336</v>
      </c>
      <c r="J37" s="53">
        <v>0</v>
      </c>
      <c r="K37" s="55">
        <v>33.1</v>
      </c>
      <c r="L37" s="53">
        <v>11831</v>
      </c>
      <c r="M37" s="53">
        <v>35</v>
      </c>
      <c r="N37" s="94">
        <v>716.9</v>
      </c>
      <c r="O37" s="56">
        <v>154.12702704114372</v>
      </c>
      <c r="P37" s="98">
        <v>6671117.8598193265</v>
      </c>
      <c r="Q37">
        <v>10562</v>
      </c>
      <c r="R37" s="98">
        <v>2679462.177112163</v>
      </c>
      <c r="S37">
        <v>1130</v>
      </c>
      <c r="T37" s="98">
        <v>10405480.265191013</v>
      </c>
      <c r="U37" s="98">
        <v>24019.45</v>
      </c>
      <c r="V37">
        <v>139</v>
      </c>
      <c r="W37" s="98">
        <v>144735.50233756323</v>
      </c>
      <c r="X37" s="98">
        <v>326.83</v>
      </c>
      <c r="Y37">
        <v>2926</v>
      </c>
      <c r="Z37" s="98">
        <v>8542.8462387722066</v>
      </c>
      <c r="AA37" s="98">
        <v>23.8</v>
      </c>
      <c r="AB37" s="98">
        <v>151</v>
      </c>
      <c r="AC37" s="98">
        <v>34118.861340929849</v>
      </c>
      <c r="AD37" s="98">
        <v>96</v>
      </c>
    </row>
    <row r="38" spans="1:30" x14ac:dyDescent="0.2">
      <c r="A38" s="3" t="str">
        <f t="shared" si="0"/>
        <v>201512</v>
      </c>
      <c r="B38" s="49">
        <f t="shared" si="1"/>
        <v>2015</v>
      </c>
      <c r="C38" s="52">
        <v>42369</v>
      </c>
      <c r="D38" s="53">
        <v>21383445.974999998</v>
      </c>
      <c r="E38" s="54">
        <v>429.70000000000005</v>
      </c>
      <c r="F38" s="54">
        <v>0</v>
      </c>
      <c r="G38" s="53">
        <v>31</v>
      </c>
      <c r="H38" s="53">
        <v>0</v>
      </c>
      <c r="I38" s="53">
        <v>336</v>
      </c>
      <c r="J38" s="53">
        <v>0</v>
      </c>
      <c r="K38" s="55">
        <v>35.299999999999997</v>
      </c>
      <c r="L38" s="53">
        <v>11840</v>
      </c>
      <c r="M38" s="53">
        <v>36</v>
      </c>
      <c r="N38" s="94">
        <v>715.1</v>
      </c>
      <c r="O38" s="56">
        <v>154.44450348160629</v>
      </c>
      <c r="P38" s="98">
        <v>7810487.6631030431</v>
      </c>
      <c r="Q38">
        <v>10570</v>
      </c>
      <c r="R38" s="98">
        <v>2985522.2948205322</v>
      </c>
      <c r="S38">
        <v>1132</v>
      </c>
      <c r="T38" s="98">
        <v>9826758.5775212292</v>
      </c>
      <c r="U38" s="98">
        <v>23355.929999999997</v>
      </c>
      <c r="V38">
        <v>138</v>
      </c>
      <c r="W38" s="98">
        <v>137161.23461501769</v>
      </c>
      <c r="X38" s="98">
        <v>289.93</v>
      </c>
      <c r="Y38">
        <v>2848</v>
      </c>
      <c r="Z38" s="98">
        <v>8827.5692950589273</v>
      </c>
      <c r="AA38" s="98">
        <v>23.8</v>
      </c>
      <c r="AB38" s="98">
        <v>151</v>
      </c>
      <c r="AC38" s="98">
        <v>32226.787247672684</v>
      </c>
      <c r="AD38" s="98">
        <v>96</v>
      </c>
    </row>
    <row r="39" spans="1:30" x14ac:dyDescent="0.2">
      <c r="A39" s="3" t="str">
        <f t="shared" si="0"/>
        <v>20161</v>
      </c>
      <c r="B39" s="49">
        <f t="shared" si="1"/>
        <v>2016</v>
      </c>
      <c r="C39" s="52">
        <v>42400</v>
      </c>
      <c r="D39" s="53">
        <v>23561827.41</v>
      </c>
      <c r="E39" s="54">
        <v>670.4</v>
      </c>
      <c r="F39" s="54">
        <v>0</v>
      </c>
      <c r="G39" s="53">
        <v>31</v>
      </c>
      <c r="H39" s="53">
        <v>0</v>
      </c>
      <c r="I39" s="53">
        <v>320</v>
      </c>
      <c r="J39" s="53">
        <v>0</v>
      </c>
      <c r="K39" s="55">
        <v>38.5</v>
      </c>
      <c r="L39" s="53">
        <v>11841</v>
      </c>
      <c r="M39" s="53">
        <v>37</v>
      </c>
      <c r="N39" s="94">
        <v>712</v>
      </c>
      <c r="O39" s="56">
        <v>154.72483615659849</v>
      </c>
      <c r="P39" s="98">
        <v>8141203.4349176632</v>
      </c>
      <c r="Q39">
        <v>10573</v>
      </c>
      <c r="R39" s="98">
        <v>3187031.414553293</v>
      </c>
      <c r="S39">
        <v>1131</v>
      </c>
      <c r="T39" s="98">
        <v>10947470.748847917</v>
      </c>
      <c r="U39" s="98">
        <v>24165.279999999999</v>
      </c>
      <c r="V39">
        <v>137</v>
      </c>
      <c r="W39" s="98">
        <v>111674.17231180232</v>
      </c>
      <c r="X39" s="98">
        <v>242.33000000000004</v>
      </c>
      <c r="Y39">
        <v>2885</v>
      </c>
      <c r="Z39" s="98">
        <v>8827.5319601798492</v>
      </c>
      <c r="AA39" s="98">
        <v>23.8</v>
      </c>
      <c r="AB39" s="98">
        <v>151</v>
      </c>
      <c r="AC39" s="98">
        <v>31035.925716861366</v>
      </c>
      <c r="AD39" s="98">
        <v>97</v>
      </c>
    </row>
    <row r="40" spans="1:30" x14ac:dyDescent="0.2">
      <c r="A40" s="3" t="str">
        <f t="shared" si="0"/>
        <v>20162</v>
      </c>
      <c r="B40" s="49">
        <f t="shared" si="1"/>
        <v>2016</v>
      </c>
      <c r="C40" s="52">
        <v>42429</v>
      </c>
      <c r="D40" s="53">
        <v>21655030.84</v>
      </c>
      <c r="E40" s="54">
        <v>588.4</v>
      </c>
      <c r="F40" s="54">
        <v>0</v>
      </c>
      <c r="G40" s="53">
        <v>29</v>
      </c>
      <c r="H40" s="53">
        <v>0</v>
      </c>
      <c r="I40" s="53">
        <v>320</v>
      </c>
      <c r="J40" s="53">
        <v>0</v>
      </c>
      <c r="K40" s="55">
        <v>40.9</v>
      </c>
      <c r="L40" s="53">
        <v>11848</v>
      </c>
      <c r="M40" s="53">
        <v>38</v>
      </c>
      <c r="N40" s="94">
        <v>707.4</v>
      </c>
      <c r="O40" s="56">
        <v>155.00567766425806</v>
      </c>
      <c r="P40" s="98">
        <v>7395471.4443364209</v>
      </c>
      <c r="Q40">
        <v>10579</v>
      </c>
      <c r="R40" s="98">
        <v>3046027.9216784169</v>
      </c>
      <c r="S40">
        <v>1131</v>
      </c>
      <c r="T40" s="98">
        <v>10145983.314061157</v>
      </c>
      <c r="U40" s="98">
        <v>23904.890000000003</v>
      </c>
      <c r="V40">
        <v>138</v>
      </c>
      <c r="W40" s="98">
        <v>88899.828260662151</v>
      </c>
      <c r="X40" s="98">
        <v>205.41000000000003</v>
      </c>
      <c r="Y40">
        <v>2885</v>
      </c>
      <c r="Z40" s="98">
        <v>8258.0485099625967</v>
      </c>
      <c r="AA40" s="98">
        <v>23.8</v>
      </c>
      <c r="AB40" s="98">
        <v>153</v>
      </c>
      <c r="AC40" s="98">
        <v>32532.955387722424</v>
      </c>
      <c r="AD40" s="98">
        <v>97</v>
      </c>
    </row>
    <row r="41" spans="1:30" x14ac:dyDescent="0.2">
      <c r="A41" s="3" t="str">
        <f t="shared" si="0"/>
        <v>20163</v>
      </c>
      <c r="B41" s="49">
        <f t="shared" si="1"/>
        <v>2016</v>
      </c>
      <c r="C41" s="52">
        <v>42460</v>
      </c>
      <c r="D41" s="53">
        <v>21636172.899999999</v>
      </c>
      <c r="E41" s="54">
        <v>476.0999999999998</v>
      </c>
      <c r="F41" s="54">
        <v>0</v>
      </c>
      <c r="G41" s="53">
        <v>31</v>
      </c>
      <c r="H41" s="53">
        <v>1</v>
      </c>
      <c r="I41" s="53">
        <v>352</v>
      </c>
      <c r="J41" s="53">
        <v>0</v>
      </c>
      <c r="K41" s="55">
        <v>44.3</v>
      </c>
      <c r="L41" s="53">
        <v>11856</v>
      </c>
      <c r="M41" s="53">
        <v>39</v>
      </c>
      <c r="N41" s="94">
        <v>706.9</v>
      </c>
      <c r="O41" s="56">
        <v>155.2870289281687</v>
      </c>
      <c r="P41" s="98">
        <v>7171384.9656484937</v>
      </c>
      <c r="Q41">
        <v>10586</v>
      </c>
      <c r="R41" s="98">
        <v>2992845.1769332821</v>
      </c>
      <c r="S41">
        <v>1131</v>
      </c>
      <c r="T41" s="98">
        <v>10769160.031271253</v>
      </c>
      <c r="U41" s="98">
        <v>24386.99</v>
      </c>
      <c r="V41">
        <v>139</v>
      </c>
      <c r="W41" s="98">
        <v>76927.983970995134</v>
      </c>
      <c r="X41" s="98">
        <v>205.41000000000003</v>
      </c>
      <c r="Y41">
        <v>2852</v>
      </c>
      <c r="Z41" s="98">
        <v>8975.922273669803</v>
      </c>
      <c r="AA41" s="98">
        <v>23.8</v>
      </c>
      <c r="AB41" s="98">
        <v>153</v>
      </c>
      <c r="AC41" s="98">
        <v>32028.270203224864</v>
      </c>
      <c r="AD41" s="98">
        <v>97</v>
      </c>
    </row>
    <row r="42" spans="1:30" x14ac:dyDescent="0.2">
      <c r="A42" s="3" t="str">
        <f t="shared" si="0"/>
        <v>20164</v>
      </c>
      <c r="B42" s="49">
        <f t="shared" si="1"/>
        <v>2016</v>
      </c>
      <c r="C42" s="52">
        <v>42490</v>
      </c>
      <c r="D42" s="53">
        <v>20336536.75</v>
      </c>
      <c r="E42" s="54">
        <v>394.8</v>
      </c>
      <c r="F42" s="54">
        <v>0</v>
      </c>
      <c r="G42" s="53">
        <v>30</v>
      </c>
      <c r="H42" s="53">
        <v>1</v>
      </c>
      <c r="I42" s="53">
        <v>336</v>
      </c>
      <c r="J42" s="53">
        <v>0</v>
      </c>
      <c r="K42" s="55">
        <v>44.6</v>
      </c>
      <c r="L42" s="53">
        <v>11862</v>
      </c>
      <c r="M42" s="53">
        <v>40</v>
      </c>
      <c r="N42" s="94">
        <v>706.3</v>
      </c>
      <c r="O42" s="56">
        <v>155.56889087359048</v>
      </c>
      <c r="P42" s="98">
        <v>6335316.8955787234</v>
      </c>
      <c r="Q42">
        <v>10593</v>
      </c>
      <c r="R42" s="98">
        <v>2715129.2118235966</v>
      </c>
      <c r="S42">
        <v>1130</v>
      </c>
      <c r="T42" s="98">
        <v>10331052.000810705</v>
      </c>
      <c r="U42" s="98">
        <v>24427.009999999995</v>
      </c>
      <c r="V42">
        <v>139</v>
      </c>
      <c r="W42" s="98">
        <v>64141.150653563585</v>
      </c>
      <c r="X42" s="98">
        <v>205.41000000000003</v>
      </c>
      <c r="Y42">
        <v>2852</v>
      </c>
      <c r="Z42" s="98">
        <v>8691.1465880319174</v>
      </c>
      <c r="AA42" s="98">
        <v>24.2</v>
      </c>
      <c r="AB42" s="98">
        <v>153</v>
      </c>
      <c r="AC42" s="98">
        <v>29740.550247386436</v>
      </c>
      <c r="AD42" s="98">
        <v>97</v>
      </c>
    </row>
    <row r="43" spans="1:30" x14ac:dyDescent="0.2">
      <c r="A43" s="3" t="str">
        <f t="shared" si="0"/>
        <v>20165</v>
      </c>
      <c r="B43" s="49">
        <f t="shared" si="1"/>
        <v>2016</v>
      </c>
      <c r="C43" s="52">
        <v>42521</v>
      </c>
      <c r="D43" s="53">
        <v>20078198.850000001</v>
      </c>
      <c r="E43" s="54">
        <v>142.50000000000003</v>
      </c>
      <c r="F43" s="54">
        <v>36.9</v>
      </c>
      <c r="G43" s="53">
        <v>31</v>
      </c>
      <c r="H43" s="53">
        <v>1</v>
      </c>
      <c r="I43" s="53">
        <v>336</v>
      </c>
      <c r="J43" s="53">
        <v>0</v>
      </c>
      <c r="K43" s="55">
        <v>44.6</v>
      </c>
      <c r="L43" s="53">
        <v>11874</v>
      </c>
      <c r="M43" s="53">
        <v>41</v>
      </c>
      <c r="N43" s="94">
        <v>712</v>
      </c>
      <c r="O43" s="56">
        <v>155.85126442746289</v>
      </c>
      <c r="P43" s="98">
        <v>6226873.2588910181</v>
      </c>
      <c r="Q43">
        <v>10602</v>
      </c>
      <c r="R43" s="98">
        <v>2669135.1305700601</v>
      </c>
      <c r="S43">
        <v>1132</v>
      </c>
      <c r="T43" s="98">
        <v>10141234.350491365</v>
      </c>
      <c r="U43" s="98">
        <v>26380.130000000005</v>
      </c>
      <c r="V43">
        <v>140</v>
      </c>
      <c r="W43" s="98">
        <v>57821.181185001435</v>
      </c>
      <c r="X43" s="98">
        <v>205.41000000000003</v>
      </c>
      <c r="Y43">
        <v>2852</v>
      </c>
      <c r="Z43" s="98">
        <v>8980.8589011408385</v>
      </c>
      <c r="AA43" s="98">
        <v>24.3</v>
      </c>
      <c r="AB43" s="98">
        <v>153</v>
      </c>
      <c r="AC43" s="98">
        <v>35459.895116332926</v>
      </c>
      <c r="AD43" s="98">
        <v>97</v>
      </c>
    </row>
    <row r="44" spans="1:30" x14ac:dyDescent="0.2">
      <c r="A44" s="3" t="str">
        <f t="shared" si="0"/>
        <v>20166</v>
      </c>
      <c r="B44" s="49">
        <f t="shared" si="1"/>
        <v>2016</v>
      </c>
      <c r="C44" s="52">
        <v>42551</v>
      </c>
      <c r="D44" s="53">
        <v>20739146.41</v>
      </c>
      <c r="E44" s="54">
        <v>24.200000000000003</v>
      </c>
      <c r="F44" s="54">
        <v>83.7</v>
      </c>
      <c r="G44" s="53">
        <v>30</v>
      </c>
      <c r="H44" s="53">
        <v>0</v>
      </c>
      <c r="I44" s="53">
        <v>352</v>
      </c>
      <c r="J44" s="53">
        <v>0</v>
      </c>
      <c r="K44" s="55">
        <v>41.4</v>
      </c>
      <c r="L44" s="53">
        <v>11879</v>
      </c>
      <c r="M44" s="53">
        <v>42</v>
      </c>
      <c r="N44" s="94">
        <v>714.6</v>
      </c>
      <c r="O44" s="56">
        <v>156.13415051840798</v>
      </c>
      <c r="P44" s="98">
        <v>6950661.4104644088</v>
      </c>
      <c r="Q44">
        <v>10602</v>
      </c>
      <c r="R44" s="98">
        <v>2694042.0637317537</v>
      </c>
      <c r="S44">
        <v>1135</v>
      </c>
      <c r="T44" s="98">
        <v>10661465.622049423</v>
      </c>
      <c r="U44" s="98">
        <v>26778.650000000005</v>
      </c>
      <c r="V44">
        <v>142</v>
      </c>
      <c r="W44" s="98">
        <v>48295.258086060487</v>
      </c>
      <c r="X44" s="98">
        <v>200.14000000000001</v>
      </c>
      <c r="Y44">
        <v>2839</v>
      </c>
      <c r="Z44" s="98">
        <v>8691.1279266121655</v>
      </c>
      <c r="AA44" s="98">
        <v>48.400000000000006</v>
      </c>
      <c r="AB44" s="98">
        <v>153</v>
      </c>
      <c r="AC44" s="98">
        <v>31269.239395977835</v>
      </c>
      <c r="AD44" s="98">
        <v>97</v>
      </c>
    </row>
    <row r="45" spans="1:30" x14ac:dyDescent="0.2">
      <c r="A45" s="3" t="str">
        <f t="shared" si="0"/>
        <v>20167</v>
      </c>
      <c r="B45" s="49">
        <f t="shared" si="1"/>
        <v>2016</v>
      </c>
      <c r="C45" s="52">
        <v>42582</v>
      </c>
      <c r="D45" s="53">
        <v>23027670.599999998</v>
      </c>
      <c r="E45" s="54">
        <v>0</v>
      </c>
      <c r="F45" s="54">
        <v>176.89999999999998</v>
      </c>
      <c r="G45" s="53">
        <v>31</v>
      </c>
      <c r="H45" s="53">
        <v>0</v>
      </c>
      <c r="I45" s="53">
        <v>320</v>
      </c>
      <c r="J45" s="53">
        <v>0</v>
      </c>
      <c r="K45" s="55">
        <v>42.1</v>
      </c>
      <c r="L45" s="53">
        <v>11897</v>
      </c>
      <c r="M45" s="53">
        <v>43</v>
      </c>
      <c r="N45" s="94">
        <v>712.6</v>
      </c>
      <c r="O45" s="56">
        <v>156.41755007673331</v>
      </c>
      <c r="P45" s="98">
        <v>8223030.7902599545</v>
      </c>
      <c r="Q45">
        <v>10618</v>
      </c>
      <c r="R45" s="98">
        <v>2944866.780813423</v>
      </c>
      <c r="S45">
        <v>1136</v>
      </c>
      <c r="T45" s="98">
        <v>10644630.987921</v>
      </c>
      <c r="U45" s="98">
        <v>26283.469999999994</v>
      </c>
      <c r="V45">
        <v>143</v>
      </c>
      <c r="W45" s="98">
        <v>51041.131571414946</v>
      </c>
      <c r="X45" s="98">
        <v>199.85</v>
      </c>
      <c r="Y45">
        <v>2839</v>
      </c>
      <c r="Z45" s="98">
        <v>8980.8052524972991</v>
      </c>
      <c r="AA45" s="98">
        <v>0.3</v>
      </c>
      <c r="AB45" s="98">
        <v>153</v>
      </c>
      <c r="AC45" s="98">
        <v>31138.749033002059</v>
      </c>
      <c r="AD45" s="98">
        <v>97</v>
      </c>
    </row>
    <row r="46" spans="1:30" x14ac:dyDescent="0.2">
      <c r="A46" s="3" t="str">
        <f t="shared" si="0"/>
        <v>20168</v>
      </c>
      <c r="B46" s="49">
        <f t="shared" si="1"/>
        <v>2016</v>
      </c>
      <c r="C46" s="52">
        <v>42613</v>
      </c>
      <c r="D46" s="53">
        <v>24179844.139999997</v>
      </c>
      <c r="E46" s="54">
        <v>0</v>
      </c>
      <c r="F46" s="54">
        <v>195.4</v>
      </c>
      <c r="G46" s="53">
        <v>31</v>
      </c>
      <c r="H46" s="53">
        <v>0</v>
      </c>
      <c r="I46" s="53">
        <v>368</v>
      </c>
      <c r="J46" s="53">
        <v>0</v>
      </c>
      <c r="K46" s="55">
        <v>43.3</v>
      </c>
      <c r="L46" s="53">
        <v>11928</v>
      </c>
      <c r="M46" s="53">
        <v>44</v>
      </c>
      <c r="N46" s="94">
        <v>708.4</v>
      </c>
      <c r="O46" s="56">
        <v>156.70146403443502</v>
      </c>
      <c r="P46" s="98">
        <v>8278163.5992429638</v>
      </c>
      <c r="Q46">
        <v>10653</v>
      </c>
      <c r="R46" s="98">
        <v>2969334.4165806412</v>
      </c>
      <c r="S46">
        <v>1134</v>
      </c>
      <c r="T46" s="98">
        <v>11297633.208501095</v>
      </c>
      <c r="U46" s="98">
        <v>27002.38</v>
      </c>
      <c r="V46">
        <v>141</v>
      </c>
      <c r="W46" s="98">
        <v>61550.615399293958</v>
      </c>
      <c r="X46" s="98">
        <v>200.20000000000002</v>
      </c>
      <c r="Y46">
        <v>2844</v>
      </c>
      <c r="Z46" s="98">
        <v>8954.6098852110081</v>
      </c>
      <c r="AA46" s="98">
        <v>24.3</v>
      </c>
      <c r="AB46" s="98">
        <v>152</v>
      </c>
      <c r="AC46" s="98">
        <v>31617.861953344596</v>
      </c>
      <c r="AD46" s="98">
        <v>97</v>
      </c>
    </row>
    <row r="47" spans="1:30" x14ac:dyDescent="0.2">
      <c r="A47" s="3" t="str">
        <f t="shared" si="0"/>
        <v>20169</v>
      </c>
      <c r="B47" s="49">
        <f t="shared" si="1"/>
        <v>2016</v>
      </c>
      <c r="C47" s="52">
        <v>42643</v>
      </c>
      <c r="D47" s="53">
        <v>20570015.609999999</v>
      </c>
      <c r="E47" s="54">
        <v>25.900000000000006</v>
      </c>
      <c r="F47" s="54">
        <v>69.400000000000006</v>
      </c>
      <c r="G47" s="53">
        <v>30</v>
      </c>
      <c r="H47" s="53">
        <v>1</v>
      </c>
      <c r="I47" s="53">
        <v>336</v>
      </c>
      <c r="J47" s="53">
        <v>0</v>
      </c>
      <c r="K47" s="55">
        <v>41.8</v>
      </c>
      <c r="L47" s="53">
        <v>11935</v>
      </c>
      <c r="M47" s="53">
        <v>45</v>
      </c>
      <c r="N47" s="94">
        <v>703.7</v>
      </c>
      <c r="O47" s="56">
        <v>156.98589332520095</v>
      </c>
      <c r="P47" s="98">
        <v>6710831.0238135904</v>
      </c>
      <c r="Q47">
        <v>10659</v>
      </c>
      <c r="R47" s="98">
        <v>2668938.6773412609</v>
      </c>
      <c r="S47">
        <v>1134</v>
      </c>
      <c r="T47" s="98">
        <v>10558012.326610055</v>
      </c>
      <c r="U47" s="98">
        <v>27287.199999999997</v>
      </c>
      <c r="V47">
        <v>142</v>
      </c>
      <c r="W47" s="98">
        <v>68066.930636389647</v>
      </c>
      <c r="X47" s="98">
        <v>200.20000000000002</v>
      </c>
      <c r="Y47">
        <v>2844</v>
      </c>
      <c r="Z47" s="98">
        <v>8656.9508770973334</v>
      </c>
      <c r="AA47" s="98">
        <v>23.9</v>
      </c>
      <c r="AB47" s="98">
        <v>152</v>
      </c>
      <c r="AC47" s="98">
        <v>29511.763258685871</v>
      </c>
      <c r="AD47" s="98">
        <v>97</v>
      </c>
    </row>
    <row r="48" spans="1:30" x14ac:dyDescent="0.2">
      <c r="A48" s="3" t="str">
        <f t="shared" si="0"/>
        <v>201610</v>
      </c>
      <c r="B48" s="49">
        <f t="shared" si="1"/>
        <v>2016</v>
      </c>
      <c r="C48" s="52">
        <v>42674</v>
      </c>
      <c r="D48" s="53">
        <v>20577574.779999997</v>
      </c>
      <c r="E48" s="54">
        <v>194.20000000000002</v>
      </c>
      <c r="F48" s="54">
        <v>4.0999999999999996</v>
      </c>
      <c r="G48" s="53">
        <v>31</v>
      </c>
      <c r="H48" s="53">
        <v>1</v>
      </c>
      <c r="I48" s="53">
        <v>320</v>
      </c>
      <c r="J48" s="53">
        <v>0</v>
      </c>
      <c r="K48" s="55">
        <v>39.4</v>
      </c>
      <c r="L48" s="53">
        <v>11965</v>
      </c>
      <c r="M48" s="53">
        <v>46</v>
      </c>
      <c r="N48" s="94">
        <v>703.9</v>
      </c>
      <c r="O48" s="56">
        <v>157.27083888441365</v>
      </c>
      <c r="P48" s="98">
        <v>6139294.2389809731</v>
      </c>
      <c r="Q48">
        <v>10693</v>
      </c>
      <c r="R48" s="98">
        <v>2596817.4357801038</v>
      </c>
      <c r="S48">
        <v>1130</v>
      </c>
      <c r="T48" s="98">
        <v>11019258.547922429</v>
      </c>
      <c r="U48" s="98">
        <v>26562.75</v>
      </c>
      <c r="V48">
        <v>142</v>
      </c>
      <c r="W48" s="98">
        <v>79803.606526094838</v>
      </c>
      <c r="X48" s="98">
        <v>199.17</v>
      </c>
      <c r="Y48">
        <v>2845</v>
      </c>
      <c r="Z48" s="98">
        <v>8945.5262583995554</v>
      </c>
      <c r="AA48" s="98">
        <v>23.9</v>
      </c>
      <c r="AB48" s="98">
        <v>152</v>
      </c>
      <c r="AC48" s="98">
        <v>35459.870582141848</v>
      </c>
      <c r="AD48" s="98">
        <v>97</v>
      </c>
    </row>
    <row r="49" spans="1:30" x14ac:dyDescent="0.2">
      <c r="A49" s="3" t="str">
        <f t="shared" si="0"/>
        <v>201611</v>
      </c>
      <c r="B49" s="49">
        <f t="shared" si="1"/>
        <v>2016</v>
      </c>
      <c r="C49" s="52">
        <v>42704</v>
      </c>
      <c r="D49" s="53">
        <v>20734381.805</v>
      </c>
      <c r="E49" s="54">
        <v>337.80000000000007</v>
      </c>
      <c r="F49" s="54">
        <v>0</v>
      </c>
      <c r="G49" s="53">
        <v>30</v>
      </c>
      <c r="H49" s="53">
        <v>1</v>
      </c>
      <c r="I49" s="53">
        <v>352</v>
      </c>
      <c r="J49" s="53">
        <v>0</v>
      </c>
      <c r="K49" s="55">
        <v>34.6</v>
      </c>
      <c r="L49" s="53">
        <v>11996</v>
      </c>
      <c r="M49" s="53">
        <v>47</v>
      </c>
      <c r="N49" s="94">
        <v>700.5</v>
      </c>
      <c r="O49" s="56">
        <v>157.55630164915351</v>
      </c>
      <c r="P49" s="98">
        <v>6589802.0617851736</v>
      </c>
      <c r="Q49">
        <v>10721</v>
      </c>
      <c r="R49" s="98">
        <v>2769122.8866488524</v>
      </c>
      <c r="S49">
        <v>1137</v>
      </c>
      <c r="T49" s="98">
        <v>10637900.539662248</v>
      </c>
      <c r="U49" s="98">
        <v>25171.62</v>
      </c>
      <c r="V49">
        <v>138</v>
      </c>
      <c r="W49" s="98">
        <v>88195.258086060509</v>
      </c>
      <c r="X49" s="98">
        <v>199.17</v>
      </c>
      <c r="Y49">
        <v>2845</v>
      </c>
      <c r="Z49" s="98">
        <v>8656.9190205102805</v>
      </c>
      <c r="AA49" s="98">
        <v>24.5</v>
      </c>
      <c r="AB49" s="98">
        <v>152</v>
      </c>
      <c r="AC49" s="98">
        <v>34881.380113877</v>
      </c>
      <c r="AD49" s="98">
        <v>97</v>
      </c>
    </row>
    <row r="50" spans="1:30" x14ac:dyDescent="0.2">
      <c r="A50" s="3" t="str">
        <f t="shared" si="0"/>
        <v>201612</v>
      </c>
      <c r="B50" s="49">
        <f t="shared" si="1"/>
        <v>2016</v>
      </c>
      <c r="C50" s="52">
        <v>42735</v>
      </c>
      <c r="D50" s="53">
        <v>22113618.544999998</v>
      </c>
      <c r="E50" s="54">
        <v>607.99999999999989</v>
      </c>
      <c r="F50" s="54">
        <v>0</v>
      </c>
      <c r="G50" s="53">
        <v>31</v>
      </c>
      <c r="H50" s="53">
        <v>0</v>
      </c>
      <c r="I50" s="53">
        <v>320</v>
      </c>
      <c r="J50" s="53">
        <v>0</v>
      </c>
      <c r="K50" s="55">
        <v>35.700000000000003</v>
      </c>
      <c r="L50" s="53">
        <v>12004</v>
      </c>
      <c r="M50" s="53">
        <v>48</v>
      </c>
      <c r="N50" s="94">
        <v>699</v>
      </c>
      <c r="O50" s="56">
        <v>157.84228255820162</v>
      </c>
      <c r="P50" s="98">
        <v>8052157.258699771</v>
      </c>
      <c r="Q50">
        <v>10730</v>
      </c>
      <c r="R50" s="98">
        <v>3202346.9103731513</v>
      </c>
      <c r="S50">
        <v>1136</v>
      </c>
      <c r="T50" s="98">
        <v>9319186.7339280602</v>
      </c>
      <c r="U50" s="98">
        <v>24520.920000000006</v>
      </c>
      <c r="V50">
        <v>138</v>
      </c>
      <c r="W50" s="98">
        <v>94241.980727029862</v>
      </c>
      <c r="X50" s="98">
        <v>199.17</v>
      </c>
      <c r="Y50">
        <v>2845</v>
      </c>
      <c r="Z50" s="98">
        <v>8945.4812411877592</v>
      </c>
      <c r="AA50" s="98">
        <v>24.1</v>
      </c>
      <c r="AB50" s="98">
        <v>152</v>
      </c>
      <c r="AC50" s="98">
        <v>46706.655378919444</v>
      </c>
      <c r="AD50" s="98">
        <v>97</v>
      </c>
    </row>
    <row r="51" spans="1:30" x14ac:dyDescent="0.2">
      <c r="A51" s="3" t="str">
        <f t="shared" si="0"/>
        <v>20171</v>
      </c>
      <c r="B51" s="49">
        <f t="shared" si="1"/>
        <v>2017</v>
      </c>
      <c r="C51" s="52">
        <v>42766</v>
      </c>
      <c r="D51" s="53">
        <v>23287844.449999999</v>
      </c>
      <c r="E51" s="54">
        <v>608.9</v>
      </c>
      <c r="F51" s="54">
        <v>0</v>
      </c>
      <c r="G51" s="53">
        <v>31</v>
      </c>
      <c r="H51" s="53">
        <v>0</v>
      </c>
      <c r="I51" s="53">
        <v>336</v>
      </c>
      <c r="J51" s="53">
        <v>0</v>
      </c>
      <c r="K51" s="55">
        <v>38.4</v>
      </c>
      <c r="L51" s="53">
        <v>12024</v>
      </c>
      <c r="M51" s="53">
        <v>49</v>
      </c>
      <c r="N51" s="94">
        <v>696.5</v>
      </c>
      <c r="O51" s="56">
        <v>158.15454692394951</v>
      </c>
      <c r="P51" s="98">
        <v>8077634.2486145692</v>
      </c>
      <c r="Q51">
        <v>10749</v>
      </c>
      <c r="R51" s="98">
        <v>3266270.5594501514</v>
      </c>
      <c r="S51">
        <v>1136</v>
      </c>
      <c r="T51" s="98">
        <v>10999918.283990078</v>
      </c>
      <c r="U51" s="98">
        <v>24019.060000000005</v>
      </c>
      <c r="V51">
        <v>139</v>
      </c>
      <c r="W51" s="98">
        <v>91827.764526285668</v>
      </c>
      <c r="X51" s="98">
        <v>199.17</v>
      </c>
      <c r="Y51">
        <v>2845</v>
      </c>
      <c r="Z51" s="98">
        <v>8945.4918423814561</v>
      </c>
      <c r="AA51" s="98">
        <v>48.2</v>
      </c>
      <c r="AB51" s="98">
        <v>152</v>
      </c>
      <c r="AC51" s="98">
        <v>31996.171303174448</v>
      </c>
      <c r="AD51" s="98">
        <v>97</v>
      </c>
    </row>
    <row r="52" spans="1:30" x14ac:dyDescent="0.2">
      <c r="A52" s="3" t="str">
        <f t="shared" si="0"/>
        <v>20172</v>
      </c>
      <c r="B52" s="49">
        <f t="shared" si="1"/>
        <v>2017</v>
      </c>
      <c r="C52" s="52">
        <v>42794</v>
      </c>
      <c r="D52" s="53">
        <v>20360287.07</v>
      </c>
      <c r="E52" s="54">
        <v>510.4</v>
      </c>
      <c r="F52" s="54">
        <v>0</v>
      </c>
      <c r="G52" s="53">
        <v>28</v>
      </c>
      <c r="H52" s="53">
        <v>0</v>
      </c>
      <c r="I52" s="53">
        <v>304</v>
      </c>
      <c r="J52" s="53">
        <v>0</v>
      </c>
      <c r="K52" s="55">
        <v>42.1</v>
      </c>
      <c r="L52" s="53">
        <v>12039</v>
      </c>
      <c r="M52" s="53">
        <v>50</v>
      </c>
      <c r="N52" s="94">
        <v>697.6</v>
      </c>
      <c r="O52" s="56">
        <v>158.46742905214063</v>
      </c>
      <c r="P52" s="98">
        <v>6841127.5841638129</v>
      </c>
      <c r="Q52">
        <v>10767</v>
      </c>
      <c r="R52" s="98">
        <v>2915321.8661983605</v>
      </c>
      <c r="S52">
        <v>1136</v>
      </c>
      <c r="T52" s="98">
        <v>9816559.2489552516</v>
      </c>
      <c r="U52" s="98">
        <v>23632.95</v>
      </c>
      <c r="V52">
        <v>136</v>
      </c>
      <c r="W52" s="98">
        <v>83400.992271729803</v>
      </c>
      <c r="X52" s="98">
        <v>199.17</v>
      </c>
      <c r="Y52">
        <v>2845</v>
      </c>
      <c r="Z52" s="98">
        <v>8079.830168877018</v>
      </c>
      <c r="AA52" s="98">
        <v>24.1</v>
      </c>
      <c r="AB52" s="98">
        <v>152</v>
      </c>
      <c r="AC52" s="98">
        <v>32830.742704485652</v>
      </c>
      <c r="AD52" s="98">
        <v>97</v>
      </c>
    </row>
    <row r="53" spans="1:30" x14ac:dyDescent="0.2">
      <c r="A53" s="3" t="str">
        <f t="shared" si="0"/>
        <v>20173</v>
      </c>
      <c r="B53" s="49">
        <f t="shared" si="1"/>
        <v>2017</v>
      </c>
      <c r="C53" s="52">
        <v>42825</v>
      </c>
      <c r="D53" s="53">
        <v>22567613.300000001</v>
      </c>
      <c r="E53" s="54">
        <v>574</v>
      </c>
      <c r="F53" s="54">
        <v>0</v>
      </c>
      <c r="G53" s="53">
        <v>31</v>
      </c>
      <c r="H53" s="53">
        <v>1</v>
      </c>
      <c r="I53" s="53">
        <v>368</v>
      </c>
      <c r="J53" s="53">
        <v>0</v>
      </c>
      <c r="K53" s="55">
        <v>45.1</v>
      </c>
      <c r="L53" s="53">
        <v>12077</v>
      </c>
      <c r="M53" s="53">
        <v>51</v>
      </c>
      <c r="N53" s="94">
        <v>699.4</v>
      </c>
      <c r="O53" s="56">
        <v>158.78093016491388</v>
      </c>
      <c r="P53" s="98">
        <v>7193461.3461572099</v>
      </c>
      <c r="Q53">
        <v>10804</v>
      </c>
      <c r="R53" s="98">
        <v>3133117.3367742631</v>
      </c>
      <c r="S53">
        <v>1137</v>
      </c>
      <c r="T53" s="98">
        <v>11029407.706526095</v>
      </c>
      <c r="U53" s="98">
        <v>24017.769999999993</v>
      </c>
      <c r="V53">
        <v>136</v>
      </c>
      <c r="W53" s="98">
        <v>74279.248163343189</v>
      </c>
      <c r="X53" s="98">
        <v>198.23999999999998</v>
      </c>
      <c r="Y53">
        <v>2845</v>
      </c>
      <c r="Z53" s="98">
        <v>8854.3459593550288</v>
      </c>
      <c r="AA53" s="98">
        <v>24.1</v>
      </c>
      <c r="AB53" s="98">
        <v>152</v>
      </c>
      <c r="AC53" s="98">
        <v>32028.270203224878</v>
      </c>
      <c r="AD53" s="98">
        <v>97</v>
      </c>
    </row>
    <row r="54" spans="1:30" x14ac:dyDescent="0.2">
      <c r="A54" s="3" t="str">
        <f t="shared" si="0"/>
        <v>20174</v>
      </c>
      <c r="B54" s="49">
        <f t="shared" si="1"/>
        <v>2017</v>
      </c>
      <c r="C54" s="52">
        <v>42855</v>
      </c>
      <c r="D54" s="53">
        <v>19386237.350000001</v>
      </c>
      <c r="E54" s="54">
        <v>257.49999999999994</v>
      </c>
      <c r="F54" s="54">
        <v>0</v>
      </c>
      <c r="G54" s="53">
        <v>30</v>
      </c>
      <c r="H54" s="53">
        <v>1</v>
      </c>
      <c r="I54" s="53">
        <v>304</v>
      </c>
      <c r="J54" s="53">
        <v>0</v>
      </c>
      <c r="K54" s="55">
        <v>43.1</v>
      </c>
      <c r="L54" s="53">
        <v>12094</v>
      </c>
      <c r="M54" s="53">
        <v>52</v>
      </c>
      <c r="N54" s="94">
        <v>707.9</v>
      </c>
      <c r="O54" s="56">
        <v>159.09505148682601</v>
      </c>
      <c r="P54" s="98">
        <v>6124727.5212537749</v>
      </c>
      <c r="Q54">
        <v>10821</v>
      </c>
      <c r="R54" s="98">
        <v>2692200.1777287847</v>
      </c>
      <c r="S54">
        <v>1138</v>
      </c>
      <c r="T54" s="98">
        <v>10052116.762169641</v>
      </c>
      <c r="U54" s="98">
        <v>24376.04</v>
      </c>
      <c r="V54">
        <v>135</v>
      </c>
      <c r="W54" s="98">
        <v>61935.053907069938</v>
      </c>
      <c r="X54" s="98">
        <v>198.23999999999998</v>
      </c>
      <c r="Y54">
        <v>2845</v>
      </c>
      <c r="Z54" s="98">
        <v>8568.7720637343755</v>
      </c>
      <c r="AA54" s="98">
        <v>23.9</v>
      </c>
      <c r="AB54" s="98">
        <v>152</v>
      </c>
      <c r="AC54" s="98">
        <v>32028.270203224871</v>
      </c>
      <c r="AD54" s="98">
        <v>97</v>
      </c>
    </row>
    <row r="55" spans="1:30" x14ac:dyDescent="0.2">
      <c r="A55" s="3" t="str">
        <f t="shared" si="0"/>
        <v>20175</v>
      </c>
      <c r="B55" s="49">
        <f t="shared" si="1"/>
        <v>2017</v>
      </c>
      <c r="C55" s="52">
        <v>42886</v>
      </c>
      <c r="D55" s="53">
        <v>19855233.969999999</v>
      </c>
      <c r="E55" s="54">
        <v>177</v>
      </c>
      <c r="F55" s="54">
        <v>9</v>
      </c>
      <c r="G55" s="53">
        <v>31</v>
      </c>
      <c r="H55" s="53">
        <v>1</v>
      </c>
      <c r="I55" s="53">
        <v>352</v>
      </c>
      <c r="J55" s="53">
        <v>0</v>
      </c>
      <c r="K55" s="55">
        <v>44.2</v>
      </c>
      <c r="L55" s="53">
        <v>12140</v>
      </c>
      <c r="M55" s="53">
        <v>53</v>
      </c>
      <c r="N55" s="94">
        <v>720.9</v>
      </c>
      <c r="O55" s="56">
        <v>159.4097942448563</v>
      </c>
      <c r="P55" s="98">
        <v>6046247.087900118</v>
      </c>
      <c r="Q55">
        <v>10861</v>
      </c>
      <c r="R55" s="98">
        <v>2652297.0243330477</v>
      </c>
      <c r="S55">
        <v>1142</v>
      </c>
      <c r="T55" s="98">
        <v>10490835.211611487</v>
      </c>
      <c r="U55" s="98">
        <v>25556.829999999998</v>
      </c>
      <c r="V55">
        <v>137</v>
      </c>
      <c r="W55" s="98">
        <v>56670.260471329064</v>
      </c>
      <c r="X55" s="98">
        <v>201.22</v>
      </c>
      <c r="Y55">
        <v>2893</v>
      </c>
      <c r="Z55" s="98">
        <v>8854.3459593550288</v>
      </c>
      <c r="AA55" s="98">
        <v>23.9</v>
      </c>
      <c r="AB55" s="98">
        <v>151</v>
      </c>
      <c r="AC55" s="98">
        <v>32028.270203224878</v>
      </c>
      <c r="AD55" s="98">
        <v>97</v>
      </c>
    </row>
    <row r="56" spans="1:30" x14ac:dyDescent="0.2">
      <c r="A56" s="3" t="str">
        <f t="shared" si="0"/>
        <v>20176</v>
      </c>
      <c r="B56" s="49">
        <f t="shared" si="1"/>
        <v>2017</v>
      </c>
      <c r="C56" s="52">
        <v>42916</v>
      </c>
      <c r="D56" s="53">
        <v>20499489.770000003</v>
      </c>
      <c r="E56" s="54">
        <v>26.699999999999996</v>
      </c>
      <c r="F56" s="54">
        <v>68.2</v>
      </c>
      <c r="G56" s="53">
        <v>30</v>
      </c>
      <c r="H56" s="53">
        <v>0</v>
      </c>
      <c r="I56" s="53">
        <v>352</v>
      </c>
      <c r="J56" s="53">
        <v>0</v>
      </c>
      <c r="K56" s="55">
        <v>41.3</v>
      </c>
      <c r="L56" s="53">
        <v>12176</v>
      </c>
      <c r="M56" s="53">
        <v>54</v>
      </c>
      <c r="N56" s="94">
        <v>741.1</v>
      </c>
      <c r="O56" s="56">
        <v>159.72515966841141</v>
      </c>
      <c r="P56" s="98">
        <v>6538694.2891350258</v>
      </c>
      <c r="Q56">
        <v>10899</v>
      </c>
      <c r="R56" s="98">
        <v>2660649.7918248489</v>
      </c>
      <c r="S56">
        <v>1141</v>
      </c>
      <c r="T56" s="98">
        <v>10176166.327850396</v>
      </c>
      <c r="U56" s="98">
        <v>25333.62</v>
      </c>
      <c r="V56">
        <v>136</v>
      </c>
      <c r="W56" s="98">
        <v>48563.743917565116</v>
      </c>
      <c r="X56" s="98">
        <v>201.22</v>
      </c>
      <c r="Y56">
        <v>2893</v>
      </c>
      <c r="Z56" s="98">
        <v>8568.7720637343755</v>
      </c>
      <c r="AA56" s="98">
        <v>23.9</v>
      </c>
      <c r="AB56" s="98">
        <v>151</v>
      </c>
      <c r="AC56" s="98">
        <v>32028.270203224878</v>
      </c>
      <c r="AD56" s="98">
        <v>97</v>
      </c>
    </row>
    <row r="57" spans="1:30" x14ac:dyDescent="0.2">
      <c r="A57" s="3" t="str">
        <f t="shared" si="0"/>
        <v>20177</v>
      </c>
      <c r="B57" s="49">
        <f t="shared" si="1"/>
        <v>2017</v>
      </c>
      <c r="C57" s="52">
        <v>42947</v>
      </c>
      <c r="D57" s="53">
        <v>21882661.009999998</v>
      </c>
      <c r="E57" s="54">
        <v>0</v>
      </c>
      <c r="F57" s="54">
        <v>116.49999999999999</v>
      </c>
      <c r="G57" s="53">
        <v>31</v>
      </c>
      <c r="H57" s="53">
        <v>0</v>
      </c>
      <c r="I57" s="53">
        <v>320</v>
      </c>
      <c r="J57" s="53">
        <v>0</v>
      </c>
      <c r="K57" s="55">
        <v>44</v>
      </c>
      <c r="L57" s="53">
        <v>12215</v>
      </c>
      <c r="M57" s="53">
        <v>55</v>
      </c>
      <c r="N57" s="94">
        <v>753.8</v>
      </c>
      <c r="O57" s="56">
        <v>160.0411489893302</v>
      </c>
      <c r="P57" s="98">
        <v>7373042.5852860827</v>
      </c>
      <c r="Q57">
        <v>10935</v>
      </c>
      <c r="R57" s="98">
        <v>2831211.4141721646</v>
      </c>
      <c r="S57">
        <v>1148</v>
      </c>
      <c r="T57" s="98">
        <v>10421037.249861654</v>
      </c>
      <c r="U57" s="98">
        <v>24854.180000000004</v>
      </c>
      <c r="V57">
        <v>132</v>
      </c>
      <c r="W57" s="98">
        <v>51389.113634195208</v>
      </c>
      <c r="X57" s="98">
        <v>201.22</v>
      </c>
      <c r="Y57">
        <v>2893</v>
      </c>
      <c r="Z57" s="98">
        <v>8854.3459593550288</v>
      </c>
      <c r="AA57" s="98">
        <v>23.9</v>
      </c>
      <c r="AB57" s="98">
        <v>151</v>
      </c>
      <c r="AC57" s="98">
        <v>31278.265432687698</v>
      </c>
      <c r="AD57" s="98">
        <v>97</v>
      </c>
    </row>
    <row r="58" spans="1:30" x14ac:dyDescent="0.2">
      <c r="A58" s="3" t="str">
        <f t="shared" si="0"/>
        <v>20178</v>
      </c>
      <c r="B58" s="49">
        <f t="shared" si="1"/>
        <v>2017</v>
      </c>
      <c r="C58" s="52">
        <v>42978</v>
      </c>
      <c r="D58" s="53">
        <v>21310062.84</v>
      </c>
      <c r="E58" s="54">
        <v>11.6</v>
      </c>
      <c r="F58" s="54">
        <v>75.2</v>
      </c>
      <c r="G58" s="53">
        <v>31</v>
      </c>
      <c r="H58" s="53">
        <v>0</v>
      </c>
      <c r="I58" s="53">
        <v>368</v>
      </c>
      <c r="J58" s="53">
        <v>0</v>
      </c>
      <c r="K58" s="55">
        <v>41.2</v>
      </c>
      <c r="L58" s="53">
        <v>12244</v>
      </c>
      <c r="M58" s="53">
        <v>56</v>
      </c>
      <c r="N58" s="94">
        <v>760.4</v>
      </c>
      <c r="O58" s="56">
        <v>160.35776344188849</v>
      </c>
      <c r="P58" s="98">
        <v>6894318.8462530961</v>
      </c>
      <c r="Q58">
        <v>10964</v>
      </c>
      <c r="R58" s="98">
        <v>2745903.8040328831</v>
      </c>
      <c r="S58">
        <v>1148</v>
      </c>
      <c r="T58" s="98">
        <v>10716705.822631428</v>
      </c>
      <c r="U58" s="98">
        <v>25095.769999999997</v>
      </c>
      <c r="V58">
        <v>132</v>
      </c>
      <c r="W58" s="98">
        <v>61864.783894666536</v>
      </c>
      <c r="X58" s="98">
        <v>201.22</v>
      </c>
      <c r="Y58">
        <v>2893</v>
      </c>
      <c r="Z58" s="98">
        <v>8854.3459593550288</v>
      </c>
      <c r="AA58" s="98">
        <v>23.9</v>
      </c>
      <c r="AB58" s="98">
        <v>151</v>
      </c>
      <c r="AC58" s="98">
        <v>31278.265432687698</v>
      </c>
      <c r="AD58" s="98">
        <v>97</v>
      </c>
    </row>
    <row r="59" spans="1:30" x14ac:dyDescent="0.2">
      <c r="A59" s="3" t="str">
        <f t="shared" si="0"/>
        <v>20179</v>
      </c>
      <c r="B59" s="49">
        <f t="shared" si="1"/>
        <v>2017</v>
      </c>
      <c r="C59" s="52">
        <v>43008</v>
      </c>
      <c r="D59" s="53">
        <v>20719473.609999999</v>
      </c>
      <c r="E59" s="54">
        <v>49.1</v>
      </c>
      <c r="F59" s="54">
        <v>71.499999999999986</v>
      </c>
      <c r="G59" s="53">
        <v>30</v>
      </c>
      <c r="H59" s="53">
        <v>1</v>
      </c>
      <c r="I59" s="53">
        <v>320</v>
      </c>
      <c r="J59" s="53">
        <v>0</v>
      </c>
      <c r="K59" s="55">
        <v>40.5</v>
      </c>
      <c r="L59" s="53">
        <v>12278</v>
      </c>
      <c r="M59" s="53">
        <v>57</v>
      </c>
      <c r="N59" s="94">
        <v>751.9</v>
      </c>
      <c r="O59" s="56">
        <v>160.67500426280395</v>
      </c>
      <c r="P59" s="98">
        <v>6687986.0876193978</v>
      </c>
      <c r="Q59">
        <v>10997</v>
      </c>
      <c r="R59" s="98">
        <v>2663948.908441186</v>
      </c>
      <c r="S59">
        <v>1149</v>
      </c>
      <c r="T59" s="98">
        <v>10513500.015408834</v>
      </c>
      <c r="U59" s="98">
        <v>26318.910000000003</v>
      </c>
      <c r="V59">
        <v>132</v>
      </c>
      <c r="W59" s="98">
        <v>68414.750500906404</v>
      </c>
      <c r="X59" s="98">
        <v>201.22</v>
      </c>
      <c r="Y59">
        <v>2893</v>
      </c>
      <c r="Z59" s="98">
        <v>8311.7363165092356</v>
      </c>
      <c r="AA59" s="98">
        <v>23.9</v>
      </c>
      <c r="AB59" s="98">
        <v>148</v>
      </c>
      <c r="AC59" s="98">
        <v>31278.265432687698</v>
      </c>
      <c r="AD59" s="98">
        <v>97</v>
      </c>
    </row>
    <row r="60" spans="1:30" x14ac:dyDescent="0.2">
      <c r="A60" s="3" t="str">
        <f t="shared" si="0"/>
        <v>201710</v>
      </c>
      <c r="B60" s="49">
        <f t="shared" si="1"/>
        <v>2017</v>
      </c>
      <c r="C60" s="52">
        <v>43039</v>
      </c>
      <c r="D60" s="53">
        <v>20243543.530000001</v>
      </c>
      <c r="E60" s="54">
        <v>153.99999999999997</v>
      </c>
      <c r="F60" s="54">
        <v>8.1</v>
      </c>
      <c r="G60" s="53">
        <v>31</v>
      </c>
      <c r="H60" s="53">
        <v>1</v>
      </c>
      <c r="I60" s="53">
        <v>336</v>
      </c>
      <c r="J60" s="53">
        <v>0</v>
      </c>
      <c r="K60" s="55">
        <v>35.5</v>
      </c>
      <c r="L60" s="53">
        <v>12304</v>
      </c>
      <c r="M60" s="53">
        <v>58</v>
      </c>
      <c r="N60" s="94">
        <v>741.8</v>
      </c>
      <c r="O60" s="56">
        <v>160.99287269124085</v>
      </c>
      <c r="P60" s="98">
        <v>6248508.5917640133</v>
      </c>
      <c r="Q60">
        <v>11023</v>
      </c>
      <c r="R60" s="98">
        <v>2583871.6279106806</v>
      </c>
      <c r="S60">
        <v>1148</v>
      </c>
      <c r="T60" s="98">
        <v>10552946.718586013</v>
      </c>
      <c r="U60" s="98">
        <v>24475.209999999992</v>
      </c>
      <c r="V60">
        <v>133</v>
      </c>
      <c r="W60" s="98">
        <v>80627.716820914036</v>
      </c>
      <c r="X60" s="98">
        <v>201.22</v>
      </c>
      <c r="Y60">
        <v>2893</v>
      </c>
      <c r="Z60" s="98">
        <v>8588.7325591433055</v>
      </c>
      <c r="AA60" s="98">
        <v>22.9</v>
      </c>
      <c r="AB60" s="98">
        <v>148</v>
      </c>
      <c r="AC60" s="98">
        <v>31278.265432687698</v>
      </c>
      <c r="AD60" s="98">
        <v>97</v>
      </c>
    </row>
    <row r="61" spans="1:30" x14ac:dyDescent="0.2">
      <c r="A61" s="3" t="str">
        <f t="shared" si="0"/>
        <v>201711</v>
      </c>
      <c r="B61" s="49">
        <f t="shared" si="1"/>
        <v>2017</v>
      </c>
      <c r="C61" s="52">
        <v>43069</v>
      </c>
      <c r="D61" s="53">
        <v>21468651.379999999</v>
      </c>
      <c r="E61" s="54">
        <v>429.35</v>
      </c>
      <c r="F61" s="54">
        <v>0</v>
      </c>
      <c r="G61" s="53">
        <v>30</v>
      </c>
      <c r="H61" s="53">
        <v>1</v>
      </c>
      <c r="I61" s="53">
        <v>352</v>
      </c>
      <c r="J61" s="53">
        <v>0</v>
      </c>
      <c r="K61" s="55">
        <v>31.5</v>
      </c>
      <c r="L61" s="53">
        <v>12326</v>
      </c>
      <c r="M61" s="53">
        <v>59</v>
      </c>
      <c r="N61" s="94">
        <v>732.7</v>
      </c>
      <c r="O61" s="56">
        <v>161.31136996881492</v>
      </c>
      <c r="P61" s="98">
        <v>7054593.890105403</v>
      </c>
      <c r="Q61">
        <v>11048</v>
      </c>
      <c r="R61" s="98">
        <v>2910095.3959281086</v>
      </c>
      <c r="S61">
        <v>1146</v>
      </c>
      <c r="T61" s="98">
        <v>10596759.624997614</v>
      </c>
      <c r="U61" s="98">
        <v>23786.850000000006</v>
      </c>
      <c r="V61">
        <v>132</v>
      </c>
      <c r="W61" s="98">
        <v>89107.499284419435</v>
      </c>
      <c r="X61" s="98">
        <v>201.22</v>
      </c>
      <c r="Y61">
        <v>2893</v>
      </c>
      <c r="Z61" s="98">
        <v>8311.73415840909</v>
      </c>
      <c r="AA61" s="98">
        <v>24.1</v>
      </c>
      <c r="AB61" s="98">
        <v>151</v>
      </c>
      <c r="AC61" s="98">
        <v>31278.265432687698</v>
      </c>
      <c r="AD61" s="98">
        <v>97</v>
      </c>
    </row>
    <row r="62" spans="1:30" x14ac:dyDescent="0.2">
      <c r="A62" s="3" t="str">
        <f t="shared" si="0"/>
        <v>201712</v>
      </c>
      <c r="B62" s="49">
        <f t="shared" si="1"/>
        <v>2017</v>
      </c>
      <c r="C62" s="52">
        <v>43100</v>
      </c>
      <c r="D62" s="53">
        <v>22467268.620000001</v>
      </c>
      <c r="E62" s="54">
        <v>718.49999999999989</v>
      </c>
      <c r="F62" s="54">
        <v>0</v>
      </c>
      <c r="G62" s="53">
        <v>31</v>
      </c>
      <c r="H62" s="53">
        <v>0</v>
      </c>
      <c r="I62" s="53">
        <v>304</v>
      </c>
      <c r="J62" s="53">
        <v>0</v>
      </c>
      <c r="K62" s="55">
        <v>31.2</v>
      </c>
      <c r="L62" s="53">
        <v>12365</v>
      </c>
      <c r="M62" s="53">
        <v>60</v>
      </c>
      <c r="N62" s="94">
        <v>722.9</v>
      </c>
      <c r="O62" s="56">
        <v>161.63049733959846</v>
      </c>
      <c r="P62" s="98">
        <v>8798321.2115890458</v>
      </c>
      <c r="Q62">
        <v>11084</v>
      </c>
      <c r="R62" s="98">
        <v>3332197.6946805171</v>
      </c>
      <c r="S62">
        <v>1149</v>
      </c>
      <c r="T62" s="98">
        <v>9635094.7641040925</v>
      </c>
      <c r="U62" s="98">
        <v>23847.439999999999</v>
      </c>
      <c r="V62">
        <v>132</v>
      </c>
      <c r="W62" s="98">
        <v>95213.691441656309</v>
      </c>
      <c r="X62" s="98">
        <v>201.22</v>
      </c>
      <c r="Y62">
        <v>2890</v>
      </c>
      <c r="Z62" s="98">
        <v>8588.7319912222156</v>
      </c>
      <c r="AA62" s="98">
        <v>23.2</v>
      </c>
      <c r="AB62" s="98">
        <v>151</v>
      </c>
      <c r="AC62" s="98">
        <v>31278.265432687698</v>
      </c>
      <c r="AD62" s="98">
        <v>97</v>
      </c>
    </row>
    <row r="63" spans="1:30" x14ac:dyDescent="0.2">
      <c r="A63" s="3" t="str">
        <f t="shared" si="0"/>
        <v>20181</v>
      </c>
      <c r="B63" s="49">
        <f t="shared" si="1"/>
        <v>2018</v>
      </c>
      <c r="C63" s="52">
        <v>43131</v>
      </c>
      <c r="D63" s="53">
        <v>24028241.710000001</v>
      </c>
      <c r="E63" s="54">
        <v>732.29999999999984</v>
      </c>
      <c r="F63" s="54">
        <v>0</v>
      </c>
      <c r="G63" s="53">
        <v>31</v>
      </c>
      <c r="H63" s="53">
        <v>0</v>
      </c>
      <c r="I63" s="53">
        <v>352</v>
      </c>
      <c r="J63" s="53">
        <v>0</v>
      </c>
      <c r="K63" s="55">
        <v>32.799999999999997</v>
      </c>
      <c r="L63" s="53">
        <v>12405</v>
      </c>
      <c r="M63" s="53">
        <v>61</v>
      </c>
      <c r="N63" s="94">
        <v>710</v>
      </c>
      <c r="O63" s="56">
        <v>161.9238733332927</v>
      </c>
      <c r="P63" s="98">
        <v>8701101.00392255</v>
      </c>
      <c r="Q63">
        <v>11124</v>
      </c>
      <c r="R63" s="98">
        <v>3533076.927120958</v>
      </c>
      <c r="S63">
        <v>1149</v>
      </c>
      <c r="T63" s="98">
        <v>10767168.197624272</v>
      </c>
      <c r="U63" s="98">
        <v>23843.310000000005</v>
      </c>
      <c r="V63">
        <v>132</v>
      </c>
      <c r="W63" s="98">
        <v>92770.75660719398</v>
      </c>
      <c r="X63" s="98">
        <v>201.22</v>
      </c>
      <c r="Y63">
        <v>2890</v>
      </c>
      <c r="Z63" s="98">
        <v>8588.7319912222138</v>
      </c>
      <c r="AA63" s="98">
        <v>22.4</v>
      </c>
      <c r="AB63" s="98">
        <v>151</v>
      </c>
      <c r="AC63" s="98">
        <v>31278.265432687698</v>
      </c>
      <c r="AD63" s="98">
        <v>97</v>
      </c>
    </row>
    <row r="64" spans="1:30" x14ac:dyDescent="0.2">
      <c r="A64" s="3" t="str">
        <f t="shared" si="0"/>
        <v>20182</v>
      </c>
      <c r="B64" s="49">
        <f t="shared" si="1"/>
        <v>2018</v>
      </c>
      <c r="C64" s="52">
        <v>43159</v>
      </c>
      <c r="D64" s="53">
        <v>20985005.432913534</v>
      </c>
      <c r="E64" s="54">
        <v>555.00000000000023</v>
      </c>
      <c r="F64" s="54">
        <v>0</v>
      </c>
      <c r="G64" s="53">
        <v>28</v>
      </c>
      <c r="H64" s="53">
        <v>0</v>
      </c>
      <c r="I64" s="53">
        <v>304</v>
      </c>
      <c r="J64" s="53">
        <v>0</v>
      </c>
      <c r="K64" s="55">
        <v>38.299999999999997</v>
      </c>
      <c r="L64" s="53">
        <v>12428</v>
      </c>
      <c r="M64" s="53">
        <v>62</v>
      </c>
      <c r="N64" s="94">
        <v>698.5</v>
      </c>
      <c r="O64" s="56">
        <v>162.21778183462067</v>
      </c>
      <c r="P64" s="98">
        <v>7266633.6828718111</v>
      </c>
      <c r="Q64">
        <v>11146</v>
      </c>
      <c r="R64" s="98">
        <v>3005254.8560367119</v>
      </c>
      <c r="S64">
        <v>1150</v>
      </c>
      <c r="T64" s="98">
        <v>9859492.8038736768</v>
      </c>
      <c r="U64" s="98">
        <v>23471.05</v>
      </c>
      <c r="V64">
        <v>132</v>
      </c>
      <c r="W64" s="98">
        <v>84257.895239003905</v>
      </c>
      <c r="X64" s="98">
        <v>201.22</v>
      </c>
      <c r="Y64">
        <v>2890</v>
      </c>
      <c r="Z64" s="98">
        <v>7866.4631237477361</v>
      </c>
      <c r="AA64" s="98">
        <v>23.2</v>
      </c>
      <c r="AB64" s="98">
        <v>151</v>
      </c>
      <c r="AC64" s="98">
        <v>31278.265432687698</v>
      </c>
      <c r="AD64" s="98">
        <v>97</v>
      </c>
    </row>
    <row r="65" spans="1:30" x14ac:dyDescent="0.2">
      <c r="A65" s="3" t="str">
        <f t="shared" si="0"/>
        <v>20183</v>
      </c>
      <c r="B65" s="49">
        <f t="shared" si="1"/>
        <v>2018</v>
      </c>
      <c r="C65" s="52">
        <v>43190</v>
      </c>
      <c r="D65" s="53">
        <v>22598880.590000004</v>
      </c>
      <c r="E65" s="54">
        <v>553.99999999999989</v>
      </c>
      <c r="F65" s="54">
        <v>0</v>
      </c>
      <c r="G65" s="53">
        <v>31</v>
      </c>
      <c r="H65" s="53">
        <v>1</v>
      </c>
      <c r="I65" s="53">
        <v>336</v>
      </c>
      <c r="J65" s="53">
        <v>0</v>
      </c>
      <c r="K65" s="55">
        <v>43.4</v>
      </c>
      <c r="L65" s="53">
        <v>12449</v>
      </c>
      <c r="M65" s="53">
        <v>63</v>
      </c>
      <c r="N65" s="94">
        <v>695.1</v>
      </c>
      <c r="O65" s="56">
        <v>162.51222381013852</v>
      </c>
      <c r="P65" s="98">
        <v>7557906.2472316418</v>
      </c>
      <c r="Q65">
        <v>11164</v>
      </c>
      <c r="R65" s="98">
        <v>3149449.0722622438</v>
      </c>
      <c r="S65">
        <v>1151</v>
      </c>
      <c r="T65" s="98">
        <v>11023446.31109627</v>
      </c>
      <c r="U65" s="98">
        <v>23735.140000000007</v>
      </c>
      <c r="V65">
        <v>134</v>
      </c>
      <c r="W65" s="98">
        <v>75387.80650701269</v>
      </c>
      <c r="X65" s="98">
        <v>201.22</v>
      </c>
      <c r="Y65">
        <v>2890</v>
      </c>
      <c r="Z65" s="98">
        <v>8709.2643831695477</v>
      </c>
      <c r="AA65" s="98">
        <v>23.5</v>
      </c>
      <c r="AB65" s="98">
        <v>155</v>
      </c>
      <c r="AC65" s="98">
        <v>31278.265432687698</v>
      </c>
      <c r="AD65" s="98">
        <v>97</v>
      </c>
    </row>
    <row r="66" spans="1:30" x14ac:dyDescent="0.2">
      <c r="A66" s="3" t="str">
        <f t="shared" si="0"/>
        <v>20184</v>
      </c>
      <c r="B66" s="49">
        <f t="shared" si="1"/>
        <v>2018</v>
      </c>
      <c r="C66" s="52">
        <v>43220</v>
      </c>
      <c r="D66" s="53">
        <v>21216588.68</v>
      </c>
      <c r="E66" s="54">
        <v>437.20000000000005</v>
      </c>
      <c r="F66" s="54">
        <v>0</v>
      </c>
      <c r="G66" s="53">
        <v>30</v>
      </c>
      <c r="H66" s="53">
        <v>1</v>
      </c>
      <c r="I66" s="53">
        <v>336</v>
      </c>
      <c r="J66" s="53">
        <v>0</v>
      </c>
      <c r="K66" s="55">
        <v>43.9</v>
      </c>
      <c r="L66" s="53">
        <v>12479</v>
      </c>
      <c r="M66" s="53">
        <v>64</v>
      </c>
      <c r="N66" s="94">
        <v>702.2</v>
      </c>
      <c r="O66" s="56">
        <v>162.80720022815689</v>
      </c>
      <c r="P66" s="98">
        <v>7020209.6402652124</v>
      </c>
      <c r="Q66">
        <v>11192</v>
      </c>
      <c r="R66" s="98">
        <v>2921020.1678578532</v>
      </c>
      <c r="S66">
        <v>1150</v>
      </c>
      <c r="T66" s="98">
        <v>10341359.530226124</v>
      </c>
      <c r="U66" s="98">
        <v>23770.199999999997</v>
      </c>
      <c r="V66">
        <v>137</v>
      </c>
      <c r="W66" s="98">
        <v>62858.849346436407</v>
      </c>
      <c r="X66" s="98">
        <v>201.22</v>
      </c>
      <c r="Y66">
        <v>2890</v>
      </c>
      <c r="Z66" s="98">
        <v>8428.3751550424568</v>
      </c>
      <c r="AA66" s="98">
        <v>23.5</v>
      </c>
      <c r="AB66" s="98">
        <v>155</v>
      </c>
      <c r="AC66" s="98">
        <v>31278.265432687698</v>
      </c>
      <c r="AD66" s="98">
        <v>97</v>
      </c>
    </row>
    <row r="67" spans="1:30" x14ac:dyDescent="0.2">
      <c r="A67" s="3" t="str">
        <f t="shared" si="0"/>
        <v>20185</v>
      </c>
      <c r="B67" s="49">
        <f t="shared" si="1"/>
        <v>2018</v>
      </c>
      <c r="C67" s="52">
        <v>43251</v>
      </c>
      <c r="D67" s="53">
        <v>21095556.57</v>
      </c>
      <c r="E67" s="54">
        <v>75.3</v>
      </c>
      <c r="F67" s="54">
        <v>43.4</v>
      </c>
      <c r="G67" s="53">
        <v>31</v>
      </c>
      <c r="H67" s="53">
        <v>1</v>
      </c>
      <c r="I67" s="53">
        <v>352</v>
      </c>
      <c r="J67" s="53">
        <v>0</v>
      </c>
      <c r="K67" s="55">
        <v>45.2</v>
      </c>
      <c r="L67" s="53">
        <v>12500</v>
      </c>
      <c r="M67" s="53">
        <v>65</v>
      </c>
      <c r="N67" s="94">
        <v>711.6</v>
      </c>
      <c r="O67" s="56">
        <v>163.10271205874389</v>
      </c>
      <c r="P67" s="98">
        <v>6507108.4588764235</v>
      </c>
      <c r="Q67">
        <v>11209</v>
      </c>
      <c r="R67" s="98">
        <v>2762135.1098850905</v>
      </c>
      <c r="S67">
        <v>1150</v>
      </c>
      <c r="T67" s="98">
        <v>10948609.708148077</v>
      </c>
      <c r="U67" s="98">
        <v>25520.730000000003</v>
      </c>
      <c r="V67">
        <v>141</v>
      </c>
      <c r="W67" s="98">
        <v>56670.260471329064</v>
      </c>
      <c r="X67" s="98">
        <v>201.22</v>
      </c>
      <c r="Y67">
        <v>2890</v>
      </c>
      <c r="Z67" s="98">
        <v>8709.2643831695477</v>
      </c>
      <c r="AA67" s="98">
        <v>23.5</v>
      </c>
      <c r="AB67" s="98">
        <v>155</v>
      </c>
      <c r="AC67" s="98">
        <v>31278.265432687698</v>
      </c>
      <c r="AD67" s="98">
        <v>97</v>
      </c>
    </row>
    <row r="68" spans="1:30" x14ac:dyDescent="0.2">
      <c r="A68" s="3" t="str">
        <f t="shared" ref="A68:A131" si="2">YEAR(C68)&amp;MONTH(C68)</f>
        <v>20186</v>
      </c>
      <c r="B68" s="49">
        <f t="shared" ref="B68:B131" si="3">YEAR(C68)</f>
        <v>2018</v>
      </c>
      <c r="C68" s="52">
        <v>43281</v>
      </c>
      <c r="D68" s="53">
        <v>21446304.349999998</v>
      </c>
      <c r="E68" s="54">
        <v>14.799999999999999</v>
      </c>
      <c r="F68" s="54">
        <v>60.5</v>
      </c>
      <c r="G68" s="53">
        <v>30</v>
      </c>
      <c r="H68" s="53">
        <v>0</v>
      </c>
      <c r="I68" s="53">
        <v>336</v>
      </c>
      <c r="J68" s="53">
        <v>0</v>
      </c>
      <c r="K68" s="55">
        <v>43.2</v>
      </c>
      <c r="L68" s="53">
        <v>12506</v>
      </c>
      <c r="M68" s="53">
        <v>66</v>
      </c>
      <c r="N68" s="94">
        <v>728.4</v>
      </c>
      <c r="O68" s="56">
        <v>163.39876027372847</v>
      </c>
      <c r="P68" s="98">
        <v>7115491.9403303852</v>
      </c>
      <c r="Q68">
        <v>11217</v>
      </c>
      <c r="R68" s="98">
        <v>2764421.3815343874</v>
      </c>
      <c r="S68">
        <v>1150</v>
      </c>
      <c r="T68" s="98">
        <v>10532893.138355119</v>
      </c>
      <c r="U68" s="98">
        <v>25840.86</v>
      </c>
      <c r="V68">
        <v>139</v>
      </c>
      <c r="W68" s="98">
        <v>48563.743917565116</v>
      </c>
      <c r="X68" s="98">
        <v>201.22</v>
      </c>
      <c r="Y68">
        <v>2890</v>
      </c>
      <c r="Z68" s="98">
        <v>8428.3751550424549</v>
      </c>
      <c r="AA68" s="98">
        <v>23.5</v>
      </c>
      <c r="AB68" s="98">
        <v>155</v>
      </c>
      <c r="AC68" s="98">
        <v>31278.265432687698</v>
      </c>
      <c r="AD68" s="98">
        <v>97</v>
      </c>
    </row>
    <row r="69" spans="1:30" x14ac:dyDescent="0.2">
      <c r="A69" s="3" t="str">
        <f t="shared" si="2"/>
        <v>20187</v>
      </c>
      <c r="B69" s="49">
        <f t="shared" si="3"/>
        <v>2018</v>
      </c>
      <c r="C69" s="52">
        <v>43312</v>
      </c>
      <c r="D69" s="53">
        <v>23894162.989999998</v>
      </c>
      <c r="E69" s="54">
        <v>0</v>
      </c>
      <c r="F69" s="54">
        <v>167.8</v>
      </c>
      <c r="G69" s="53">
        <v>31</v>
      </c>
      <c r="H69" s="53">
        <v>0</v>
      </c>
      <c r="I69" s="53">
        <v>336</v>
      </c>
      <c r="J69" s="53">
        <v>0</v>
      </c>
      <c r="K69" s="55">
        <v>43.2</v>
      </c>
      <c r="L69" s="53">
        <v>12521</v>
      </c>
      <c r="M69" s="53">
        <v>67</v>
      </c>
      <c r="N69" s="94">
        <v>748.1</v>
      </c>
      <c r="O69" s="56">
        <v>163.69534584670356</v>
      </c>
      <c r="P69" s="98">
        <v>8959182.6983135175</v>
      </c>
      <c r="Q69">
        <v>11225</v>
      </c>
      <c r="R69" s="98">
        <v>3054426.8078676285</v>
      </c>
      <c r="S69">
        <v>1156</v>
      </c>
      <c r="T69" s="98">
        <v>11099490.518700505</v>
      </c>
      <c r="U69" s="98">
        <v>25600.429999999997</v>
      </c>
      <c r="V69">
        <v>140</v>
      </c>
      <c r="W69" s="98">
        <v>51389.113634195208</v>
      </c>
      <c r="X69" s="98">
        <v>201.22</v>
      </c>
      <c r="Y69">
        <v>2890</v>
      </c>
      <c r="Z69" s="98">
        <v>8709.2643831695477</v>
      </c>
      <c r="AA69" s="98">
        <v>23.5</v>
      </c>
      <c r="AB69" s="98">
        <v>155</v>
      </c>
      <c r="AC69" s="98">
        <v>31263.640456540386</v>
      </c>
      <c r="AD69" s="98">
        <v>97</v>
      </c>
    </row>
    <row r="70" spans="1:30" x14ac:dyDescent="0.2">
      <c r="A70" s="3" t="str">
        <f t="shared" si="2"/>
        <v>20188</v>
      </c>
      <c r="B70" s="49">
        <f t="shared" si="3"/>
        <v>2018</v>
      </c>
      <c r="C70" s="52">
        <v>43343</v>
      </c>
      <c r="D70" s="53">
        <v>23956344.050000001</v>
      </c>
      <c r="E70" s="54">
        <v>1.2</v>
      </c>
      <c r="F70" s="54">
        <v>162.4</v>
      </c>
      <c r="G70" s="53">
        <v>31</v>
      </c>
      <c r="H70" s="53">
        <v>0</v>
      </c>
      <c r="I70" s="53">
        <v>368</v>
      </c>
      <c r="J70" s="53">
        <v>0</v>
      </c>
      <c r="K70" s="55">
        <v>40.4</v>
      </c>
      <c r="L70" s="53">
        <v>12543</v>
      </c>
      <c r="M70" s="53">
        <v>68</v>
      </c>
      <c r="N70" s="94">
        <v>757.4</v>
      </c>
      <c r="O70" s="56">
        <v>163.99246975302921</v>
      </c>
      <c r="P70" s="98">
        <v>8669261.0447955634</v>
      </c>
      <c r="Q70">
        <v>11247</v>
      </c>
      <c r="R70" s="98">
        <v>3004979.8461621366</v>
      </c>
      <c r="S70">
        <v>1156</v>
      </c>
      <c r="T70" s="98">
        <v>11207811.477254078</v>
      </c>
      <c r="U70" s="98">
        <v>25744.779999999995</v>
      </c>
      <c r="V70">
        <v>140</v>
      </c>
      <c r="W70" s="98">
        <v>61864.783894666536</v>
      </c>
      <c r="X70" s="98">
        <v>201.22</v>
      </c>
      <c r="Y70">
        <v>2890</v>
      </c>
      <c r="Z70" s="98">
        <v>8709.2643831695459</v>
      </c>
      <c r="AA70" s="98">
        <v>23.5</v>
      </c>
      <c r="AB70" s="98">
        <v>155</v>
      </c>
      <c r="AC70" s="98">
        <v>31292.890408835014</v>
      </c>
      <c r="AD70" s="98">
        <v>97</v>
      </c>
    </row>
    <row r="71" spans="1:30" x14ac:dyDescent="0.2">
      <c r="A71" s="3" t="str">
        <f t="shared" si="2"/>
        <v>20189</v>
      </c>
      <c r="B71" s="49">
        <f t="shared" si="3"/>
        <v>2018</v>
      </c>
      <c r="C71" s="52">
        <v>43373</v>
      </c>
      <c r="D71" s="53">
        <v>21668452.539136905</v>
      </c>
      <c r="E71" s="54">
        <v>45.04999999999999</v>
      </c>
      <c r="F71" s="54">
        <v>76.399999999999977</v>
      </c>
      <c r="G71" s="53">
        <v>30</v>
      </c>
      <c r="H71" s="53">
        <v>1</v>
      </c>
      <c r="I71" s="53">
        <v>304</v>
      </c>
      <c r="J71" s="53">
        <v>0</v>
      </c>
      <c r="K71" s="55">
        <v>36.200000000000003</v>
      </c>
      <c r="L71" s="53">
        <v>12558</v>
      </c>
      <c r="M71" s="53">
        <v>69</v>
      </c>
      <c r="N71" s="94">
        <v>755</v>
      </c>
      <c r="O71" s="56">
        <v>164.29013296983589</v>
      </c>
      <c r="P71" s="98">
        <v>7366165.8364613662</v>
      </c>
      <c r="Q71">
        <v>11266</v>
      </c>
      <c r="R71" s="98">
        <v>2692491.9151329566</v>
      </c>
      <c r="S71">
        <v>1158</v>
      </c>
      <c r="T71" s="98">
        <v>10780828.759087872</v>
      </c>
      <c r="U71" s="98">
        <v>26485.030000000006</v>
      </c>
      <c r="V71">
        <v>134</v>
      </c>
      <c r="W71" s="98">
        <v>68414.750500906404</v>
      </c>
      <c r="X71" s="98">
        <v>201.22</v>
      </c>
      <c r="Y71">
        <v>2912</v>
      </c>
      <c r="Z71" s="98">
        <v>8428.3747007055827</v>
      </c>
      <c r="AA71" s="98">
        <v>23.5</v>
      </c>
      <c r="AB71" s="98">
        <v>155</v>
      </c>
      <c r="AC71" s="98">
        <v>31278.265432687698</v>
      </c>
      <c r="AD71" s="98">
        <v>97</v>
      </c>
    </row>
    <row r="72" spans="1:30" x14ac:dyDescent="0.2">
      <c r="A72" s="3" t="str">
        <f t="shared" si="2"/>
        <v>201810</v>
      </c>
      <c r="B72" s="49">
        <f t="shared" si="3"/>
        <v>2018</v>
      </c>
      <c r="C72" s="52">
        <v>43404</v>
      </c>
      <c r="D72" s="53">
        <v>21228062.899999999</v>
      </c>
      <c r="E72" s="54">
        <v>289.40000000000003</v>
      </c>
      <c r="F72" s="54">
        <v>8.1999999999999993</v>
      </c>
      <c r="G72" s="53">
        <v>31</v>
      </c>
      <c r="H72" s="53">
        <v>1</v>
      </c>
      <c r="I72" s="53">
        <v>352</v>
      </c>
      <c r="J72" s="53">
        <v>0</v>
      </c>
      <c r="K72" s="55">
        <v>33.200000000000003</v>
      </c>
      <c r="L72" s="53">
        <v>12564</v>
      </c>
      <c r="M72" s="53">
        <v>70</v>
      </c>
      <c r="N72" s="94">
        <v>751.4</v>
      </c>
      <c r="O72" s="56">
        <v>164.58833647602765</v>
      </c>
      <c r="P72" s="98">
        <v>6744382.7450151891</v>
      </c>
      <c r="Q72">
        <v>11271</v>
      </c>
      <c r="R72" s="98">
        <v>2726545.1045258758</v>
      </c>
      <c r="S72">
        <v>1159</v>
      </c>
      <c r="T72" s="98">
        <v>10860749.377254078</v>
      </c>
      <c r="U72" s="98">
        <v>25037.339999999997</v>
      </c>
      <c r="V72">
        <v>134</v>
      </c>
      <c r="W72" s="98">
        <v>81053.592214483346</v>
      </c>
      <c r="X72" s="98">
        <v>202.39</v>
      </c>
      <c r="Y72">
        <v>2890</v>
      </c>
      <c r="Z72" s="98">
        <v>8709.2648375064182</v>
      </c>
      <c r="AA72" s="98">
        <v>23.5</v>
      </c>
      <c r="AB72" s="98">
        <v>151</v>
      </c>
      <c r="AC72" s="98">
        <v>31278.265432687698</v>
      </c>
      <c r="AD72" s="98">
        <v>97</v>
      </c>
    </row>
    <row r="73" spans="1:30" x14ac:dyDescent="0.2">
      <c r="A73" s="3" t="str">
        <f t="shared" si="2"/>
        <v>201811</v>
      </c>
      <c r="B73" s="49">
        <f t="shared" si="3"/>
        <v>2018</v>
      </c>
      <c r="C73" s="52">
        <v>43434</v>
      </c>
      <c r="D73" s="53">
        <v>22168373.890000001</v>
      </c>
      <c r="E73" s="54">
        <v>494.1</v>
      </c>
      <c r="F73" s="54">
        <v>0</v>
      </c>
      <c r="G73" s="53">
        <v>30</v>
      </c>
      <c r="H73" s="53">
        <v>1</v>
      </c>
      <c r="I73" s="53">
        <v>352</v>
      </c>
      <c r="J73" s="53">
        <v>0</v>
      </c>
      <c r="K73" s="55">
        <v>29.4</v>
      </c>
      <c r="L73" s="53">
        <v>12578</v>
      </c>
      <c r="M73" s="53">
        <v>71</v>
      </c>
      <c r="N73" s="94">
        <v>754.4</v>
      </c>
      <c r="O73" s="56">
        <v>164.88708125228533</v>
      </c>
      <c r="P73" s="98">
        <v>7409894.9703931855</v>
      </c>
      <c r="Q73">
        <v>11283</v>
      </c>
      <c r="R73" s="98">
        <v>2998922.7530015004</v>
      </c>
      <c r="S73">
        <v>1161</v>
      </c>
      <c r="T73" s="98">
        <v>10784621.257866615</v>
      </c>
      <c r="U73" s="98">
        <v>23947.470000000005</v>
      </c>
      <c r="V73">
        <v>134</v>
      </c>
      <c r="W73" s="98">
        <v>90707.880927392442</v>
      </c>
      <c r="X73" s="98">
        <v>204.97</v>
      </c>
      <c r="Y73">
        <v>2939</v>
      </c>
      <c r="Z73" s="98">
        <v>8428.3751550424549</v>
      </c>
      <c r="AA73" s="98">
        <v>23.5</v>
      </c>
      <c r="AB73" s="98">
        <v>151</v>
      </c>
      <c r="AC73" s="98">
        <v>31278.265432687698</v>
      </c>
      <c r="AD73" s="98">
        <v>97</v>
      </c>
    </row>
    <row r="74" spans="1:30" x14ac:dyDescent="0.2">
      <c r="A74" s="3" t="str">
        <f t="shared" si="2"/>
        <v>201812</v>
      </c>
      <c r="B74" s="49">
        <f t="shared" si="3"/>
        <v>2018</v>
      </c>
      <c r="C74" s="52">
        <v>43465</v>
      </c>
      <c r="D74" s="53">
        <v>22187282.27</v>
      </c>
      <c r="E74" s="54">
        <v>563.60000000000014</v>
      </c>
      <c r="F74" s="54">
        <v>0</v>
      </c>
      <c r="G74" s="53">
        <v>31</v>
      </c>
      <c r="H74" s="53">
        <v>0</v>
      </c>
      <c r="I74" s="53">
        <v>304</v>
      </c>
      <c r="J74" s="53">
        <v>0</v>
      </c>
      <c r="K74" s="55">
        <v>27.1</v>
      </c>
      <c r="L74" s="53">
        <v>12583</v>
      </c>
      <c r="M74" s="53">
        <v>72</v>
      </c>
      <c r="N74" s="94">
        <v>759.4</v>
      </c>
      <c r="O74" s="56">
        <v>165.18636828106963</v>
      </c>
      <c r="P74" s="98">
        <v>8392094.4686887022</v>
      </c>
      <c r="Q74">
        <v>11285</v>
      </c>
      <c r="R74" s="98">
        <v>3147228.6804211335</v>
      </c>
      <c r="S74">
        <v>1164</v>
      </c>
      <c r="T74" s="98">
        <v>9723826.2792863268</v>
      </c>
      <c r="U74" s="98">
        <v>24739.969999999998</v>
      </c>
      <c r="V74">
        <v>134</v>
      </c>
      <c r="W74" s="98">
        <v>96965.986070031489</v>
      </c>
      <c r="X74" s="98">
        <v>204.97</v>
      </c>
      <c r="Y74">
        <v>2939</v>
      </c>
      <c r="Z74" s="98">
        <v>8709.2643831695477</v>
      </c>
      <c r="AA74" s="98">
        <v>23.5</v>
      </c>
      <c r="AB74" s="98">
        <v>155</v>
      </c>
      <c r="AC74" s="98">
        <v>31278.265432687698</v>
      </c>
      <c r="AD74" s="98">
        <v>97</v>
      </c>
    </row>
    <row r="75" spans="1:30" x14ac:dyDescent="0.2">
      <c r="A75" s="3" t="str">
        <f t="shared" si="2"/>
        <v>20191</v>
      </c>
      <c r="B75" s="49">
        <f t="shared" si="3"/>
        <v>2019</v>
      </c>
      <c r="C75" s="52">
        <v>43496</v>
      </c>
      <c r="D75" s="53">
        <v>24587574.760000002</v>
      </c>
      <c r="E75" s="54">
        <v>764.5</v>
      </c>
      <c r="F75" s="54">
        <v>0</v>
      </c>
      <c r="G75" s="53">
        <v>31</v>
      </c>
      <c r="H75" s="53">
        <v>0</v>
      </c>
      <c r="I75" s="53">
        <v>352</v>
      </c>
      <c r="J75" s="53">
        <v>0</v>
      </c>
      <c r="K75" s="55">
        <v>28.3</v>
      </c>
      <c r="L75" s="53">
        <v>12601</v>
      </c>
      <c r="M75" s="53">
        <v>73</v>
      </c>
      <c r="N75" s="94">
        <v>757</v>
      </c>
      <c r="O75" s="56">
        <v>165.45918699825475</v>
      </c>
      <c r="P75" s="98">
        <v>8856787.379445998</v>
      </c>
      <c r="Q75">
        <v>11303</v>
      </c>
      <c r="R75" s="98">
        <v>3495940.0618500989</v>
      </c>
      <c r="S75">
        <v>1165</v>
      </c>
      <c r="T75" s="98">
        <v>11145913.219902679</v>
      </c>
      <c r="U75" s="98">
        <v>25079.780000000002</v>
      </c>
      <c r="V75">
        <v>133</v>
      </c>
      <c r="W75" s="98">
        <v>94528.499189008682</v>
      </c>
      <c r="X75" s="98">
        <v>204.97</v>
      </c>
      <c r="Y75">
        <v>2939</v>
      </c>
      <c r="Z75" s="98">
        <v>8709.2643831695477</v>
      </c>
      <c r="AA75" s="98">
        <v>24.9</v>
      </c>
      <c r="AB75" s="98">
        <v>155</v>
      </c>
      <c r="AC75" s="98">
        <v>31278.265432687698</v>
      </c>
      <c r="AD75" s="98">
        <v>97</v>
      </c>
    </row>
    <row r="76" spans="1:30" x14ac:dyDescent="0.2">
      <c r="A76" s="3" t="str">
        <f t="shared" si="2"/>
        <v>20192</v>
      </c>
      <c r="B76" s="49">
        <f t="shared" si="3"/>
        <v>2019</v>
      </c>
      <c r="C76" s="52">
        <v>43524</v>
      </c>
      <c r="D76" s="53">
        <v>21580871.099999998</v>
      </c>
      <c r="E76" s="54">
        <v>621.70000000000016</v>
      </c>
      <c r="F76" s="54">
        <v>0</v>
      </c>
      <c r="G76" s="53">
        <v>28</v>
      </c>
      <c r="H76" s="53">
        <v>0</v>
      </c>
      <c r="I76" s="53">
        <v>304</v>
      </c>
      <c r="J76" s="53">
        <v>0</v>
      </c>
      <c r="K76" s="55">
        <v>31</v>
      </c>
      <c r="L76" s="53">
        <v>12601</v>
      </c>
      <c r="M76" s="53">
        <v>74</v>
      </c>
      <c r="N76" s="94">
        <v>749.6</v>
      </c>
      <c r="O76" s="56">
        <v>165.732456297732</v>
      </c>
      <c r="P76" s="98">
        <v>7692502.1203220971</v>
      </c>
      <c r="Q76">
        <v>11305</v>
      </c>
      <c r="R76" s="98">
        <v>3084077.5552533371</v>
      </c>
      <c r="S76">
        <v>1163</v>
      </c>
      <c r="T76" s="98">
        <v>10211167.962083768</v>
      </c>
      <c r="U76" s="98">
        <v>24861.27</v>
      </c>
      <c r="V76">
        <v>133</v>
      </c>
      <c r="W76" s="98">
        <v>85848.478198645156</v>
      </c>
      <c r="X76" s="98">
        <v>204.97</v>
      </c>
      <c r="Y76">
        <v>2939</v>
      </c>
      <c r="Z76" s="98">
        <v>7866.4631237477361</v>
      </c>
      <c r="AA76" s="98">
        <v>23.5</v>
      </c>
      <c r="AB76" s="98">
        <v>155</v>
      </c>
      <c r="AC76" s="98">
        <v>31278.265432687698</v>
      </c>
      <c r="AD76" s="98">
        <v>97</v>
      </c>
    </row>
    <row r="77" spans="1:30" x14ac:dyDescent="0.2">
      <c r="A77" s="3" t="str">
        <f t="shared" si="2"/>
        <v>20193</v>
      </c>
      <c r="B77" s="49">
        <f t="shared" si="3"/>
        <v>2019</v>
      </c>
      <c r="C77" s="52">
        <v>43555</v>
      </c>
      <c r="D77" s="53">
        <v>23246608.300000001</v>
      </c>
      <c r="E77" s="54">
        <v>593.90000000000009</v>
      </c>
      <c r="F77" s="54">
        <v>0</v>
      </c>
      <c r="G77" s="53">
        <v>31</v>
      </c>
      <c r="H77" s="53">
        <v>1</v>
      </c>
      <c r="I77" s="53">
        <v>336</v>
      </c>
      <c r="J77" s="53">
        <v>0</v>
      </c>
      <c r="K77" s="55">
        <v>38.6</v>
      </c>
      <c r="L77" s="53">
        <v>12603</v>
      </c>
      <c r="M77" s="53">
        <v>75</v>
      </c>
      <c r="N77" s="94">
        <v>742</v>
      </c>
      <c r="O77" s="56">
        <v>166.00617692367464</v>
      </c>
      <c r="P77" s="98">
        <v>7824335.7703081574</v>
      </c>
      <c r="Q77">
        <v>11305</v>
      </c>
      <c r="R77" s="98">
        <v>3220864.3182306094</v>
      </c>
      <c r="S77">
        <v>1165</v>
      </c>
      <c r="T77" s="98">
        <v>11064964.221150843</v>
      </c>
      <c r="U77" s="98">
        <v>24575.71</v>
      </c>
      <c r="V77">
        <v>133</v>
      </c>
      <c r="W77" s="98">
        <v>76866.673027382887</v>
      </c>
      <c r="X77" s="98">
        <v>204.97</v>
      </c>
      <c r="Y77">
        <v>2939</v>
      </c>
      <c r="Z77" s="98">
        <v>8709.2643831695459</v>
      </c>
      <c r="AA77" s="98">
        <v>23.5</v>
      </c>
      <c r="AB77" s="98">
        <v>155</v>
      </c>
      <c r="AC77" s="98">
        <v>31278.265432687698</v>
      </c>
      <c r="AD77" s="98">
        <v>97</v>
      </c>
    </row>
    <row r="78" spans="1:30" x14ac:dyDescent="0.2">
      <c r="A78" s="3" t="str">
        <f t="shared" si="2"/>
        <v>20194</v>
      </c>
      <c r="B78" s="49">
        <f t="shared" si="3"/>
        <v>2019</v>
      </c>
      <c r="C78" s="52">
        <v>43585</v>
      </c>
      <c r="D78" s="53">
        <v>20642403.32</v>
      </c>
      <c r="E78" s="54">
        <v>346.8</v>
      </c>
      <c r="F78" s="54">
        <v>0</v>
      </c>
      <c r="G78" s="53">
        <v>30</v>
      </c>
      <c r="H78" s="53">
        <v>1</v>
      </c>
      <c r="I78" s="53">
        <v>336</v>
      </c>
      <c r="J78" s="53">
        <v>0</v>
      </c>
      <c r="K78" s="55">
        <v>43.7</v>
      </c>
      <c r="L78" s="53">
        <v>12608</v>
      </c>
      <c r="M78" s="53">
        <v>76</v>
      </c>
      <c r="N78" s="94">
        <v>743.2</v>
      </c>
      <c r="O78" s="56">
        <v>166.28034962148504</v>
      </c>
      <c r="P78" s="98">
        <v>6701916.6911788424</v>
      </c>
      <c r="Q78">
        <v>11310</v>
      </c>
      <c r="R78" s="98">
        <v>2791641.031822945</v>
      </c>
      <c r="S78">
        <v>1166</v>
      </c>
      <c r="T78" s="98">
        <v>10313819.627411507</v>
      </c>
      <c r="U78" s="98">
        <v>24432.469999999998</v>
      </c>
      <c r="V78">
        <v>132</v>
      </c>
      <c r="W78" s="98">
        <v>64096.670165060583</v>
      </c>
      <c r="X78" s="98">
        <v>204.97</v>
      </c>
      <c r="Y78">
        <v>2939</v>
      </c>
      <c r="Z78" s="98">
        <v>8428.3751550424549</v>
      </c>
      <c r="AA78" s="98">
        <v>23.5</v>
      </c>
      <c r="AB78" s="98">
        <v>155</v>
      </c>
      <c r="AC78" s="98">
        <v>31278.265432687698</v>
      </c>
      <c r="AD78" s="98">
        <v>97</v>
      </c>
    </row>
    <row r="79" spans="1:30" x14ac:dyDescent="0.2">
      <c r="A79" s="3" t="str">
        <f t="shared" si="2"/>
        <v>20195</v>
      </c>
      <c r="B79" s="49">
        <f t="shared" si="3"/>
        <v>2019</v>
      </c>
      <c r="C79" s="52">
        <v>43616</v>
      </c>
      <c r="D79" s="53">
        <v>20313028.579999998</v>
      </c>
      <c r="E79" s="54">
        <v>189.94999999999996</v>
      </c>
      <c r="F79" s="54">
        <v>0</v>
      </c>
      <c r="G79" s="53">
        <v>31</v>
      </c>
      <c r="H79" s="53">
        <v>1</v>
      </c>
      <c r="I79" s="53">
        <v>352</v>
      </c>
      <c r="J79" s="53">
        <v>0</v>
      </c>
      <c r="K79" s="55">
        <v>46.2</v>
      </c>
      <c r="L79" s="53">
        <v>12614</v>
      </c>
      <c r="M79" s="53">
        <v>77</v>
      </c>
      <c r="N79" s="94">
        <v>757.2</v>
      </c>
      <c r="O79" s="56">
        <v>166.55497513779665</v>
      </c>
      <c r="P79" s="98">
        <v>6195120.9743121937</v>
      </c>
      <c r="Q79">
        <v>11317</v>
      </c>
      <c r="R79" s="98">
        <v>2651205.0205726731</v>
      </c>
      <c r="S79">
        <v>1165</v>
      </c>
      <c r="T79" s="98">
        <v>10763549.550281174</v>
      </c>
      <c r="U79" s="98">
        <v>24980.32</v>
      </c>
      <c r="V79">
        <v>132</v>
      </c>
      <c r="W79" s="98">
        <v>57799.704226695918</v>
      </c>
      <c r="X79" s="98">
        <v>204.97</v>
      </c>
      <c r="Y79">
        <v>2939</v>
      </c>
      <c r="Z79" s="98">
        <v>8709.2643831695477</v>
      </c>
      <c r="AA79" s="98">
        <v>23.5</v>
      </c>
      <c r="AB79" s="98">
        <v>155</v>
      </c>
      <c r="AC79" s="98">
        <v>31278.265432687698</v>
      </c>
      <c r="AD79" s="98">
        <v>97</v>
      </c>
    </row>
    <row r="80" spans="1:30" x14ac:dyDescent="0.2">
      <c r="A80" s="3" t="str">
        <f t="shared" si="2"/>
        <v>20196</v>
      </c>
      <c r="B80" s="49">
        <f t="shared" si="3"/>
        <v>2019</v>
      </c>
      <c r="C80" s="52">
        <v>43646</v>
      </c>
      <c r="D80" s="53">
        <v>20039267.039999999</v>
      </c>
      <c r="E80" s="54">
        <v>35.5</v>
      </c>
      <c r="F80" s="54">
        <v>41.300000000000004</v>
      </c>
      <c r="G80" s="53">
        <v>30</v>
      </c>
      <c r="H80" s="53">
        <v>0</v>
      </c>
      <c r="I80" s="53">
        <v>320</v>
      </c>
      <c r="J80" s="53">
        <v>0</v>
      </c>
      <c r="K80" s="55">
        <v>43.9</v>
      </c>
      <c r="L80" s="53">
        <v>12635</v>
      </c>
      <c r="M80" s="53">
        <v>78</v>
      </c>
      <c r="N80" s="94">
        <v>773.4</v>
      </c>
      <c r="O80" s="56">
        <v>166.83005422047603</v>
      </c>
      <c r="P80" s="98">
        <v>6431926.6769556012</v>
      </c>
      <c r="Q80">
        <v>11339</v>
      </c>
      <c r="R80" s="98">
        <v>2604827.3236087235</v>
      </c>
      <c r="S80">
        <v>1164</v>
      </c>
      <c r="T80" s="98">
        <v>10128426.129014691</v>
      </c>
      <c r="U80" s="98">
        <v>24954.960000000003</v>
      </c>
      <c r="V80">
        <v>132</v>
      </c>
      <c r="W80" s="98">
        <v>49506.611964507203</v>
      </c>
      <c r="X80" s="98">
        <v>204.97</v>
      </c>
      <c r="Y80">
        <v>2939</v>
      </c>
      <c r="Z80" s="98">
        <v>8428.3751550424549</v>
      </c>
      <c r="AA80" s="98">
        <v>23.5</v>
      </c>
      <c r="AB80" s="98">
        <v>155</v>
      </c>
      <c r="AC80" s="98">
        <v>31278.265432687698</v>
      </c>
      <c r="AD80" s="98">
        <v>97</v>
      </c>
    </row>
    <row r="81" spans="1:30" x14ac:dyDescent="0.2">
      <c r="A81" s="3" t="str">
        <f t="shared" si="2"/>
        <v>20197</v>
      </c>
      <c r="B81" s="49">
        <f t="shared" si="3"/>
        <v>2019</v>
      </c>
      <c r="C81" s="52">
        <v>43677</v>
      </c>
      <c r="D81" s="53">
        <v>24391822</v>
      </c>
      <c r="E81" s="54">
        <v>0</v>
      </c>
      <c r="F81" s="54">
        <v>166.90000000000003</v>
      </c>
      <c r="G81" s="53">
        <v>31</v>
      </c>
      <c r="H81" s="53">
        <v>0</v>
      </c>
      <c r="I81" s="53">
        <v>352</v>
      </c>
      <c r="J81" s="53">
        <v>0</v>
      </c>
      <c r="K81" s="55">
        <v>44.5</v>
      </c>
      <c r="L81" s="53">
        <v>12652</v>
      </c>
      <c r="M81" s="53">
        <v>79</v>
      </c>
      <c r="N81" s="94">
        <v>775.1</v>
      </c>
      <c r="O81" s="56">
        <v>167.1055876186249</v>
      </c>
      <c r="P81" s="98">
        <v>9356504.1119963508</v>
      </c>
      <c r="Q81">
        <v>11355</v>
      </c>
      <c r="R81" s="98">
        <v>3106784.3925518948</v>
      </c>
      <c r="S81">
        <v>1165</v>
      </c>
      <c r="T81" s="98">
        <v>10980378.797109054</v>
      </c>
      <c r="U81" s="98">
        <v>25603.609999999997</v>
      </c>
      <c r="V81">
        <v>132</v>
      </c>
      <c r="W81" s="98">
        <v>52385.631142066602</v>
      </c>
      <c r="X81" s="98">
        <v>204.97</v>
      </c>
      <c r="Y81">
        <v>2939</v>
      </c>
      <c r="Z81" s="98">
        <v>8709.2643831695477</v>
      </c>
      <c r="AA81" s="98">
        <v>23.5</v>
      </c>
      <c r="AB81" s="98">
        <v>155</v>
      </c>
      <c r="AC81" s="98">
        <v>31278.265432687698</v>
      </c>
      <c r="AD81" s="98">
        <v>97</v>
      </c>
    </row>
    <row r="82" spans="1:30" x14ac:dyDescent="0.2">
      <c r="A82" s="3" t="str">
        <f t="shared" si="2"/>
        <v>20198</v>
      </c>
      <c r="B82" s="49">
        <f t="shared" si="3"/>
        <v>2019</v>
      </c>
      <c r="C82" s="52">
        <v>43708</v>
      </c>
      <c r="D82" s="53">
        <v>22245573.850000001</v>
      </c>
      <c r="E82" s="54">
        <v>0.89999999999999991</v>
      </c>
      <c r="F82" s="54">
        <v>103.30000000000003</v>
      </c>
      <c r="G82" s="53">
        <v>31</v>
      </c>
      <c r="H82" s="53">
        <v>0</v>
      </c>
      <c r="I82" s="53">
        <v>352</v>
      </c>
      <c r="J82" s="53">
        <v>0</v>
      </c>
      <c r="K82" s="55">
        <v>45.8</v>
      </c>
      <c r="L82" s="53">
        <v>12653</v>
      </c>
      <c r="M82" s="53">
        <v>80</v>
      </c>
      <c r="N82" s="94">
        <v>771.1</v>
      </c>
      <c r="O82" s="56">
        <v>167.3815760825822</v>
      </c>
      <c r="P82" s="98">
        <v>7707834.6575996177</v>
      </c>
      <c r="Q82">
        <v>11358</v>
      </c>
      <c r="R82" s="98">
        <v>2820443.1770913796</v>
      </c>
      <c r="S82">
        <v>1163</v>
      </c>
      <c r="T82" s="98">
        <v>10768568.873048754</v>
      </c>
      <c r="U82" s="98">
        <v>25232.77</v>
      </c>
      <c r="V82">
        <v>132</v>
      </c>
      <c r="W82" s="98">
        <v>63002.518843621794</v>
      </c>
      <c r="X82" s="98">
        <v>204.97</v>
      </c>
      <c r="Y82">
        <v>2939</v>
      </c>
      <c r="Z82" s="98">
        <v>8709.2643831695477</v>
      </c>
      <c r="AA82" s="98">
        <v>23.5</v>
      </c>
      <c r="AB82" s="98">
        <v>155</v>
      </c>
      <c r="AC82" s="98">
        <v>31278.265432687698</v>
      </c>
      <c r="AD82" s="98">
        <v>97</v>
      </c>
    </row>
    <row r="83" spans="1:30" x14ac:dyDescent="0.2">
      <c r="A83" s="3" t="str">
        <f t="shared" si="2"/>
        <v>20199</v>
      </c>
      <c r="B83" s="49">
        <f t="shared" si="3"/>
        <v>2019</v>
      </c>
      <c r="C83" s="52">
        <v>43738</v>
      </c>
      <c r="D83" s="53">
        <v>20055564.270000003</v>
      </c>
      <c r="E83" s="54">
        <v>38.400000000000006</v>
      </c>
      <c r="F83" s="54">
        <v>25.400000000000002</v>
      </c>
      <c r="G83" s="53">
        <v>30</v>
      </c>
      <c r="H83" s="53">
        <v>1</v>
      </c>
      <c r="I83" s="53">
        <v>320</v>
      </c>
      <c r="J83" s="53">
        <v>0</v>
      </c>
      <c r="K83" s="55">
        <v>45.9</v>
      </c>
      <c r="L83" s="53">
        <v>12655</v>
      </c>
      <c r="M83" s="53">
        <v>81</v>
      </c>
      <c r="N83" s="94">
        <v>767.5</v>
      </c>
      <c r="O83" s="56">
        <v>167.65802036392614</v>
      </c>
      <c r="P83" s="98">
        <v>6230272.4716986129</v>
      </c>
      <c r="Q83">
        <v>11360</v>
      </c>
      <c r="R83" s="98">
        <v>2485674.6623829585</v>
      </c>
      <c r="S83">
        <v>1163</v>
      </c>
      <c r="T83" s="98">
        <v>10532023.391942278</v>
      </c>
      <c r="U83" s="98">
        <v>25530.480000000007</v>
      </c>
      <c r="V83">
        <v>132</v>
      </c>
      <c r="W83" s="98">
        <v>69661.892949146059</v>
      </c>
      <c r="X83" s="98">
        <v>204.97</v>
      </c>
      <c r="Y83">
        <v>2939</v>
      </c>
      <c r="Z83" s="98">
        <v>8428.3751550424549</v>
      </c>
      <c r="AA83" s="98">
        <v>23.5</v>
      </c>
      <c r="AB83" s="98">
        <v>155</v>
      </c>
      <c r="AC83" s="98">
        <v>31278.265432687698</v>
      </c>
      <c r="AD83" s="98">
        <v>97</v>
      </c>
    </row>
    <row r="84" spans="1:30" x14ac:dyDescent="0.2">
      <c r="A84" s="3" t="str">
        <f t="shared" si="2"/>
        <v>201910</v>
      </c>
      <c r="B84" s="49">
        <f t="shared" si="3"/>
        <v>2019</v>
      </c>
      <c r="C84" s="52">
        <v>43769</v>
      </c>
      <c r="D84" s="53">
        <v>20697385.880000003</v>
      </c>
      <c r="E84" s="54">
        <v>236.5</v>
      </c>
      <c r="F84" s="54">
        <v>5.0999999999999996</v>
      </c>
      <c r="G84" s="53">
        <v>31</v>
      </c>
      <c r="H84" s="53">
        <v>1</v>
      </c>
      <c r="I84" s="53">
        <v>352</v>
      </c>
      <c r="J84" s="53">
        <v>0</v>
      </c>
      <c r="K84" s="55">
        <v>41.8</v>
      </c>
      <c r="L84" s="53">
        <v>12656</v>
      </c>
      <c r="M84" s="53">
        <v>82</v>
      </c>
      <c r="N84" s="94">
        <v>771.8</v>
      </c>
      <c r="O84" s="56">
        <v>167.93492121547615</v>
      </c>
      <c r="P84" s="98">
        <v>6393677.486754599</v>
      </c>
      <c r="Q84">
        <v>11360</v>
      </c>
      <c r="R84" s="98">
        <v>2588342.8971406748</v>
      </c>
      <c r="S84">
        <v>1164</v>
      </c>
      <c r="T84" s="98">
        <v>10944940.071665682</v>
      </c>
      <c r="U84" s="98">
        <v>25245.899999999998</v>
      </c>
      <c r="V84">
        <v>132</v>
      </c>
      <c r="W84" s="98">
        <v>82093.62656235091</v>
      </c>
      <c r="X84" s="98">
        <v>204.97</v>
      </c>
      <c r="Y84">
        <v>2939</v>
      </c>
      <c r="Z84" s="98">
        <v>8779.9446617689191</v>
      </c>
      <c r="AA84" s="98">
        <v>23.5</v>
      </c>
      <c r="AB84" s="98">
        <v>157</v>
      </c>
      <c r="AC84" s="98">
        <v>31278.265432687698</v>
      </c>
      <c r="AD84" s="98">
        <v>97</v>
      </c>
    </row>
    <row r="85" spans="1:30" x14ac:dyDescent="0.2">
      <c r="A85" s="3" t="str">
        <f t="shared" si="2"/>
        <v>201911</v>
      </c>
      <c r="B85" s="49">
        <f t="shared" si="3"/>
        <v>2019</v>
      </c>
      <c r="C85" s="52">
        <v>43799</v>
      </c>
      <c r="D85" s="53">
        <v>22060075.600000001</v>
      </c>
      <c r="E85" s="54">
        <v>513.30000000000007</v>
      </c>
      <c r="F85" s="54">
        <v>0</v>
      </c>
      <c r="G85" s="53">
        <v>30</v>
      </c>
      <c r="H85" s="53">
        <v>1</v>
      </c>
      <c r="I85" s="53">
        <v>336</v>
      </c>
      <c r="J85" s="53">
        <v>0</v>
      </c>
      <c r="K85" s="55">
        <v>39.5</v>
      </c>
      <c r="L85" s="53">
        <v>12655</v>
      </c>
      <c r="M85" s="53">
        <v>83</v>
      </c>
      <c r="N85" s="94">
        <v>769.5</v>
      </c>
      <c r="O85" s="56">
        <v>168.21227939129508</v>
      </c>
      <c r="P85" s="98">
        <v>7395319.8647254016</v>
      </c>
      <c r="Q85">
        <v>11360</v>
      </c>
      <c r="R85" s="98">
        <v>2955852.3181770537</v>
      </c>
      <c r="S85">
        <v>1163</v>
      </c>
      <c r="T85" s="98">
        <v>10756799.168061445</v>
      </c>
      <c r="U85" s="98">
        <v>24202.809999999998</v>
      </c>
      <c r="V85">
        <v>132</v>
      </c>
      <c r="W85" s="98">
        <v>90707.880927392442</v>
      </c>
      <c r="X85" s="98">
        <v>204.97</v>
      </c>
      <c r="Y85">
        <v>2939</v>
      </c>
      <c r="Z85" s="98">
        <v>8496.7751168781579</v>
      </c>
      <c r="AA85" s="98">
        <v>23.7</v>
      </c>
      <c r="AB85" s="98">
        <v>157</v>
      </c>
      <c r="AC85" s="98">
        <v>31278.265432687698</v>
      </c>
      <c r="AD85" s="98">
        <v>97</v>
      </c>
    </row>
    <row r="86" spans="1:30" x14ac:dyDescent="0.2">
      <c r="A86" s="3" t="str">
        <f t="shared" si="2"/>
        <v>201912</v>
      </c>
      <c r="B86" s="49">
        <f t="shared" si="3"/>
        <v>2019</v>
      </c>
      <c r="C86" s="52">
        <v>43830</v>
      </c>
      <c r="D86" s="53">
        <v>22125178.859999999</v>
      </c>
      <c r="E86" s="54">
        <v>582.4</v>
      </c>
      <c r="F86" s="54">
        <v>0</v>
      </c>
      <c r="G86" s="53">
        <v>31</v>
      </c>
      <c r="H86" s="53">
        <v>0</v>
      </c>
      <c r="I86" s="53">
        <v>320</v>
      </c>
      <c r="J86" s="53">
        <v>0</v>
      </c>
      <c r="K86" s="55">
        <v>37.799999999999997</v>
      </c>
      <c r="L86" s="53">
        <v>12655</v>
      </c>
      <c r="M86" s="53">
        <v>84</v>
      </c>
      <c r="N86" s="94">
        <v>767.2</v>
      </c>
      <c r="O86" s="56">
        <v>168.49009564669103</v>
      </c>
      <c r="P86" s="98">
        <v>8394245.0655776076</v>
      </c>
      <c r="Q86">
        <v>11360</v>
      </c>
      <c r="R86" s="98">
        <v>3137091.9879244822</v>
      </c>
      <c r="S86">
        <v>1163</v>
      </c>
      <c r="T86" s="98">
        <v>9630680.8001381923</v>
      </c>
      <c r="U86" s="98">
        <v>24165.11</v>
      </c>
      <c r="V86">
        <v>132</v>
      </c>
      <c r="W86" s="98">
        <v>96965.986070031489</v>
      </c>
      <c r="X86" s="98">
        <v>204.97</v>
      </c>
      <c r="Y86">
        <v>2939</v>
      </c>
      <c r="Z86" s="98">
        <v>8779.9446617689191</v>
      </c>
      <c r="AA86" s="98">
        <v>23.7</v>
      </c>
      <c r="AB86" s="98">
        <v>157</v>
      </c>
      <c r="AC86" s="98">
        <v>31278.265432687698</v>
      </c>
      <c r="AD86" s="98">
        <v>97</v>
      </c>
    </row>
    <row r="87" spans="1:30" x14ac:dyDescent="0.2">
      <c r="A87" s="3" t="str">
        <f t="shared" si="2"/>
        <v>20201</v>
      </c>
      <c r="B87" s="49">
        <f t="shared" si="3"/>
        <v>2020</v>
      </c>
      <c r="C87" s="52">
        <v>43861</v>
      </c>
      <c r="D87" s="53">
        <v>23214919.18</v>
      </c>
      <c r="E87" s="54">
        <v>605</v>
      </c>
      <c r="F87" s="54">
        <v>0</v>
      </c>
      <c r="G87" s="53">
        <v>31</v>
      </c>
      <c r="H87" s="53">
        <v>0</v>
      </c>
      <c r="I87" s="53">
        <v>352</v>
      </c>
      <c r="J87" s="53">
        <v>0</v>
      </c>
      <c r="K87" s="55">
        <v>36.5</v>
      </c>
      <c r="L87" s="53">
        <v>12654</v>
      </c>
      <c r="M87" s="53">
        <v>85</v>
      </c>
      <c r="N87" s="94">
        <v>765.1</v>
      </c>
      <c r="O87" s="56">
        <v>167.7567077806583</v>
      </c>
      <c r="P87" s="98">
        <v>8141323.1042641979</v>
      </c>
      <c r="Q87">
        <v>11360</v>
      </c>
      <c r="R87" s="98">
        <v>3375967.8590986226</v>
      </c>
      <c r="S87">
        <v>1169</v>
      </c>
      <c r="T87" s="98">
        <v>10885938.528995324</v>
      </c>
      <c r="U87" s="98">
        <v>23015.830000000005</v>
      </c>
      <c r="V87">
        <v>125</v>
      </c>
      <c r="W87" s="98">
        <v>94528.499189008682</v>
      </c>
      <c r="X87" s="98">
        <v>204.97</v>
      </c>
      <c r="Y87">
        <v>2939</v>
      </c>
      <c r="Z87" s="98">
        <v>8703.320293865092</v>
      </c>
      <c r="AA87" s="98">
        <v>23.7</v>
      </c>
      <c r="AB87" s="98">
        <v>157</v>
      </c>
      <c r="AC87" s="98">
        <v>31278.265432687698</v>
      </c>
      <c r="AD87" s="98">
        <v>97</v>
      </c>
    </row>
    <row r="88" spans="1:30" x14ac:dyDescent="0.2">
      <c r="A88" s="3" t="str">
        <f t="shared" si="2"/>
        <v>20202</v>
      </c>
      <c r="B88" s="49">
        <f t="shared" si="3"/>
        <v>2020</v>
      </c>
      <c r="C88" s="52">
        <v>43890</v>
      </c>
      <c r="D88" s="53">
        <v>21739398</v>
      </c>
      <c r="E88" s="54">
        <v>611.79999999999995</v>
      </c>
      <c r="F88" s="54">
        <v>0</v>
      </c>
      <c r="G88" s="53">
        <v>29</v>
      </c>
      <c r="H88" s="53">
        <v>0</v>
      </c>
      <c r="I88" s="53">
        <v>304</v>
      </c>
      <c r="J88" s="53">
        <v>0</v>
      </c>
      <c r="K88" s="55">
        <v>36.200000000000003</v>
      </c>
      <c r="L88" s="53">
        <v>12646</v>
      </c>
      <c r="M88" s="53">
        <v>86</v>
      </c>
      <c r="N88" s="94">
        <v>774</v>
      </c>
      <c r="O88" s="56">
        <v>167.02651213645905</v>
      </c>
      <c r="P88" s="98">
        <v>7629382.0518930862</v>
      </c>
      <c r="Q88">
        <v>11361</v>
      </c>
      <c r="R88" s="98">
        <v>3179620.9757838817</v>
      </c>
      <c r="S88">
        <v>1165</v>
      </c>
      <c r="T88" s="98">
        <v>10000208.962265052</v>
      </c>
      <c r="U88" s="98">
        <v>22970.75</v>
      </c>
      <c r="V88">
        <v>120</v>
      </c>
      <c r="W88" s="98">
        <v>88741.818528766336</v>
      </c>
      <c r="X88" s="98">
        <v>204.97</v>
      </c>
      <c r="Y88">
        <v>2939</v>
      </c>
      <c r="Z88" s="98">
        <v>8141.7899055433654</v>
      </c>
      <c r="AA88" s="98">
        <v>23.5</v>
      </c>
      <c r="AB88" s="98">
        <v>158</v>
      </c>
      <c r="AC88" s="98">
        <v>31278.265432687698</v>
      </c>
      <c r="AD88" s="98">
        <v>97</v>
      </c>
    </row>
    <row r="89" spans="1:30" x14ac:dyDescent="0.2">
      <c r="A89" s="3" t="str">
        <f t="shared" si="2"/>
        <v>20203</v>
      </c>
      <c r="B89" s="49">
        <f t="shared" si="3"/>
        <v>2020</v>
      </c>
      <c r="C89" s="52">
        <v>43921</v>
      </c>
      <c r="D89" s="53">
        <v>21884530.75</v>
      </c>
      <c r="E89" s="54">
        <v>458.69999999999993</v>
      </c>
      <c r="F89" s="54">
        <v>0</v>
      </c>
      <c r="G89" s="53">
        <v>31</v>
      </c>
      <c r="H89" s="53">
        <v>1</v>
      </c>
      <c r="I89" s="53">
        <v>352</v>
      </c>
      <c r="J89" s="53">
        <v>0</v>
      </c>
      <c r="K89" s="55">
        <v>43.7</v>
      </c>
      <c r="L89" s="53">
        <v>12646</v>
      </c>
      <c r="M89" s="53">
        <v>87</v>
      </c>
      <c r="N89" s="94">
        <v>772.6</v>
      </c>
      <c r="O89" s="56">
        <v>166.29949481928981</v>
      </c>
      <c r="P89" s="98">
        <v>7656954.751418028</v>
      </c>
      <c r="Q89">
        <v>11361</v>
      </c>
      <c r="R89" s="98">
        <v>2965181.755606968</v>
      </c>
      <c r="S89">
        <v>1165</v>
      </c>
      <c r="T89" s="98">
        <v>10386710.878752027</v>
      </c>
      <c r="U89" s="98">
        <v>22943.039999999997</v>
      </c>
      <c r="V89">
        <v>120</v>
      </c>
      <c r="W89" s="98">
        <v>76278.914225741813</v>
      </c>
      <c r="X89" s="98">
        <v>203.39000000000001</v>
      </c>
      <c r="Y89">
        <v>2939</v>
      </c>
      <c r="Z89" s="98">
        <v>8703.320293865092</v>
      </c>
      <c r="AA89" s="98">
        <v>23.5</v>
      </c>
      <c r="AB89" s="98">
        <v>158</v>
      </c>
      <c r="AC89" s="98">
        <v>31278.265432687698</v>
      </c>
      <c r="AD89" s="98">
        <v>97</v>
      </c>
    </row>
    <row r="90" spans="1:30" x14ac:dyDescent="0.2">
      <c r="A90" s="3" t="str">
        <f t="shared" si="2"/>
        <v>20204</v>
      </c>
      <c r="B90" s="49">
        <f t="shared" si="3"/>
        <v>2020</v>
      </c>
      <c r="C90" s="52">
        <v>43951</v>
      </c>
      <c r="D90" s="53">
        <v>18977422.57</v>
      </c>
      <c r="E90" s="54">
        <v>362.2999999999999</v>
      </c>
      <c r="F90" s="54">
        <v>0</v>
      </c>
      <c r="G90" s="53">
        <v>30</v>
      </c>
      <c r="H90" s="53">
        <v>1</v>
      </c>
      <c r="I90" s="53">
        <v>336</v>
      </c>
      <c r="J90" s="53">
        <v>0</v>
      </c>
      <c r="K90" s="55">
        <v>62.2</v>
      </c>
      <c r="L90" s="53">
        <v>12651</v>
      </c>
      <c r="M90" s="53">
        <v>88</v>
      </c>
      <c r="N90" s="94">
        <v>735.9</v>
      </c>
      <c r="O90" s="56">
        <v>165.57564199482715</v>
      </c>
      <c r="P90" s="98">
        <v>7165813.3870439501</v>
      </c>
      <c r="Q90">
        <v>11368</v>
      </c>
      <c r="R90" s="98">
        <v>2365905.7490452761</v>
      </c>
      <c r="S90">
        <v>1164</v>
      </c>
      <c r="T90" s="98">
        <v>8574400.0413414743</v>
      </c>
      <c r="U90" s="98">
        <v>20945.609999999993</v>
      </c>
      <c r="V90">
        <v>119</v>
      </c>
      <c r="W90" s="98">
        <v>63606.869573513977</v>
      </c>
      <c r="X90" s="98">
        <v>203.39000000000001</v>
      </c>
      <c r="Y90">
        <v>2940</v>
      </c>
      <c r="Z90" s="98">
        <v>8422.621887224499</v>
      </c>
      <c r="AA90" s="98">
        <v>23.5</v>
      </c>
      <c r="AB90" s="98">
        <v>158</v>
      </c>
      <c r="AC90" s="98">
        <v>31278.265432687698</v>
      </c>
      <c r="AD90" s="98">
        <v>97</v>
      </c>
    </row>
    <row r="91" spans="1:30" x14ac:dyDescent="0.2">
      <c r="A91" s="3" t="str">
        <f t="shared" si="2"/>
        <v>20205</v>
      </c>
      <c r="B91" s="49">
        <f t="shared" si="3"/>
        <v>2020</v>
      </c>
      <c r="C91" s="52">
        <v>43982</v>
      </c>
      <c r="D91" s="53">
        <v>19969257.329999998</v>
      </c>
      <c r="E91" s="54">
        <v>208.09999999999997</v>
      </c>
      <c r="F91" s="54">
        <v>24.2</v>
      </c>
      <c r="G91" s="53">
        <v>31</v>
      </c>
      <c r="H91" s="53">
        <v>1</v>
      </c>
      <c r="I91" s="53">
        <v>320</v>
      </c>
      <c r="J91" s="53">
        <v>0</v>
      </c>
      <c r="K91" s="55">
        <v>83.7</v>
      </c>
      <c r="L91" s="53">
        <v>12656</v>
      </c>
      <c r="M91" s="53">
        <v>89</v>
      </c>
      <c r="N91" s="94">
        <v>694.4</v>
      </c>
      <c r="O91" s="56">
        <v>164.85493988896442</v>
      </c>
      <c r="P91" s="98">
        <v>7478082.7640611827</v>
      </c>
      <c r="Q91">
        <v>11371</v>
      </c>
      <c r="R91" s="98">
        <v>2371428.1870626095</v>
      </c>
      <c r="S91">
        <v>1165</v>
      </c>
      <c r="T91" s="98">
        <v>9280951.1660242341</v>
      </c>
      <c r="U91" s="98">
        <v>22328.059999999998</v>
      </c>
      <c r="V91">
        <v>120</v>
      </c>
      <c r="W91" s="98">
        <v>57358.877969659377</v>
      </c>
      <c r="X91" s="98">
        <v>203.39000000000001</v>
      </c>
      <c r="Y91">
        <v>2940</v>
      </c>
      <c r="Z91" s="98">
        <v>8703.320293865092</v>
      </c>
      <c r="AA91" s="98">
        <v>23.5</v>
      </c>
      <c r="AB91" s="98">
        <v>158</v>
      </c>
      <c r="AC91" s="98">
        <v>31278.265432687698</v>
      </c>
      <c r="AD91" s="98">
        <v>97</v>
      </c>
    </row>
    <row r="92" spans="1:30" x14ac:dyDescent="0.2">
      <c r="A92" s="3" t="str">
        <f t="shared" si="2"/>
        <v>20206</v>
      </c>
      <c r="B92" s="49">
        <f t="shared" si="3"/>
        <v>2020</v>
      </c>
      <c r="C92" s="52">
        <v>44012</v>
      </c>
      <c r="D92" s="53">
        <v>21668186.52</v>
      </c>
      <c r="E92" s="54">
        <v>23.799999999999997</v>
      </c>
      <c r="F92" s="54">
        <v>97.700000000000017</v>
      </c>
      <c r="G92" s="53">
        <v>30</v>
      </c>
      <c r="H92" s="53">
        <v>0</v>
      </c>
      <c r="I92" s="53">
        <v>352</v>
      </c>
      <c r="J92" s="53">
        <v>0</v>
      </c>
      <c r="K92" s="55">
        <v>92.9</v>
      </c>
      <c r="L92" s="53">
        <v>12660</v>
      </c>
      <c r="M92" s="53">
        <v>90</v>
      </c>
      <c r="N92" s="94">
        <v>680.6</v>
      </c>
      <c r="O92" s="56">
        <v>164.13737478754956</v>
      </c>
      <c r="P92" s="98">
        <v>8265859.9766483977</v>
      </c>
      <c r="Q92">
        <v>11374</v>
      </c>
      <c r="R92" s="98">
        <v>2556956.9305538703</v>
      </c>
      <c r="S92">
        <v>1165</v>
      </c>
      <c r="T92" s="98">
        <v>10036777.728133481</v>
      </c>
      <c r="U92" s="98">
        <v>23295.360000000004</v>
      </c>
      <c r="V92">
        <v>121</v>
      </c>
      <c r="W92" s="98">
        <v>49127.411506535631</v>
      </c>
      <c r="X92" s="98">
        <v>203.39000000000001</v>
      </c>
      <c r="Y92">
        <v>2940</v>
      </c>
      <c r="Z92" s="98">
        <v>8422.621887224499</v>
      </c>
      <c r="AA92" s="98">
        <v>23.5</v>
      </c>
      <c r="AB92" s="98">
        <v>158</v>
      </c>
      <c r="AC92" s="98">
        <v>31278.265432687698</v>
      </c>
      <c r="AD92" s="98">
        <v>97</v>
      </c>
    </row>
    <row r="93" spans="1:30" x14ac:dyDescent="0.2">
      <c r="A93" s="3" t="str">
        <f t="shared" si="2"/>
        <v>20207</v>
      </c>
      <c r="B93" s="49">
        <f t="shared" si="3"/>
        <v>2020</v>
      </c>
      <c r="C93" s="52">
        <v>44043</v>
      </c>
      <c r="D93" s="53">
        <v>25628770.52</v>
      </c>
      <c r="E93" s="54">
        <v>0</v>
      </c>
      <c r="F93" s="54">
        <v>215.7</v>
      </c>
      <c r="G93" s="53">
        <v>31</v>
      </c>
      <c r="H93" s="53">
        <v>0</v>
      </c>
      <c r="I93" s="53">
        <v>352</v>
      </c>
      <c r="J93" s="53">
        <v>0</v>
      </c>
      <c r="K93" s="55">
        <v>92.3</v>
      </c>
      <c r="L93" s="53">
        <v>12662</v>
      </c>
      <c r="M93" s="53">
        <v>91</v>
      </c>
      <c r="N93" s="94">
        <v>703.5</v>
      </c>
      <c r="O93" s="56">
        <v>163.42293303612416</v>
      </c>
      <c r="P93" s="98">
        <v>10672165.052790616</v>
      </c>
      <c r="Q93">
        <v>11375</v>
      </c>
      <c r="R93" s="98">
        <v>3070872.6126993438</v>
      </c>
      <c r="S93">
        <v>1165</v>
      </c>
      <c r="T93" s="98">
        <v>10827799.300241673</v>
      </c>
      <c r="U93" s="98">
        <v>24016.809999999998</v>
      </c>
      <c r="V93">
        <v>122</v>
      </c>
      <c r="W93" s="98">
        <v>51984.314473809747</v>
      </c>
      <c r="X93" s="98">
        <v>203.39000000000001</v>
      </c>
      <c r="Y93">
        <v>2939</v>
      </c>
      <c r="Z93" s="98">
        <v>8703.320293865092</v>
      </c>
      <c r="AA93" s="98">
        <v>23.5</v>
      </c>
      <c r="AB93" s="98">
        <v>155</v>
      </c>
      <c r="AC93" s="98">
        <v>31278.265432687698</v>
      </c>
      <c r="AD93" s="98">
        <v>97</v>
      </c>
    </row>
    <row r="94" spans="1:30" x14ac:dyDescent="0.2">
      <c r="A94" s="3" t="str">
        <f t="shared" si="2"/>
        <v>20208</v>
      </c>
      <c r="B94" s="49">
        <f t="shared" si="3"/>
        <v>2020</v>
      </c>
      <c r="C94" s="52">
        <v>44074</v>
      </c>
      <c r="D94" s="53">
        <v>23467038.809999999</v>
      </c>
      <c r="E94" s="54">
        <v>0.8</v>
      </c>
      <c r="F94" s="54">
        <v>126.69999999999999</v>
      </c>
      <c r="G94" s="53">
        <v>31</v>
      </c>
      <c r="H94" s="53">
        <v>0</v>
      </c>
      <c r="I94" s="53">
        <v>336</v>
      </c>
      <c r="J94" s="53">
        <v>0</v>
      </c>
      <c r="K94" s="55">
        <v>87.6</v>
      </c>
      <c r="L94" s="53">
        <v>12675</v>
      </c>
      <c r="M94" s="53">
        <v>92</v>
      </c>
      <c r="N94" s="94">
        <v>722.1</v>
      </c>
      <c r="O94" s="56">
        <v>162.71160103966372</v>
      </c>
      <c r="P94" s="98">
        <v>8970091.1979721319</v>
      </c>
      <c r="Q94">
        <v>11389</v>
      </c>
      <c r="R94" s="98">
        <v>2843059.0336475605</v>
      </c>
      <c r="S94">
        <v>1164</v>
      </c>
      <c r="T94" s="98">
        <v>10852476.216019465</v>
      </c>
      <c r="U94" s="98">
        <v>24504.100000000009</v>
      </c>
      <c r="V94">
        <v>122</v>
      </c>
      <c r="W94" s="98">
        <v>62515.876347676749</v>
      </c>
      <c r="X94" s="98">
        <v>203.39000000000001</v>
      </c>
      <c r="Y94">
        <v>2940</v>
      </c>
      <c r="Z94" s="98">
        <v>8703.320293865092</v>
      </c>
      <c r="AA94" s="98">
        <v>23.5</v>
      </c>
      <c r="AB94" s="98">
        <v>158</v>
      </c>
      <c r="AC94" s="98">
        <v>31278.265432687698</v>
      </c>
      <c r="AD94" s="98">
        <v>97</v>
      </c>
    </row>
    <row r="95" spans="1:30" x14ac:dyDescent="0.2">
      <c r="A95" s="3" t="str">
        <f t="shared" si="2"/>
        <v>20209</v>
      </c>
      <c r="B95" s="49">
        <f t="shared" si="3"/>
        <v>2020</v>
      </c>
      <c r="C95" s="52">
        <v>44104</v>
      </c>
      <c r="D95" s="53">
        <v>20269648.150000002</v>
      </c>
      <c r="E95" s="54">
        <v>69.100000000000009</v>
      </c>
      <c r="F95" s="54">
        <v>33.300000000000004</v>
      </c>
      <c r="G95" s="53">
        <v>30</v>
      </c>
      <c r="H95" s="53">
        <v>1</v>
      </c>
      <c r="I95" s="53">
        <v>336</v>
      </c>
      <c r="J95" s="53">
        <v>0</v>
      </c>
      <c r="K95" s="55">
        <v>81.8</v>
      </c>
      <c r="L95" s="53">
        <v>12686</v>
      </c>
      <c r="M95" s="53">
        <v>93</v>
      </c>
      <c r="N95" s="94">
        <v>726.3</v>
      </c>
      <c r="O95" s="56">
        <v>162.00336526231885</v>
      </c>
      <c r="P95" s="98">
        <v>6596130.3819353767</v>
      </c>
      <c r="Q95">
        <v>11403</v>
      </c>
      <c r="R95" s="98">
        <v>2483009.5022983067</v>
      </c>
      <c r="S95">
        <v>1159</v>
      </c>
      <c r="T95" s="98">
        <v>10335267.976806602</v>
      </c>
      <c r="U95" s="98">
        <v>23542.629999999986</v>
      </c>
      <c r="V95">
        <v>124</v>
      </c>
      <c r="W95" s="98">
        <v>69123.118023089395</v>
      </c>
      <c r="X95" s="98">
        <v>203.39000000000001</v>
      </c>
      <c r="Y95">
        <v>2940</v>
      </c>
      <c r="Z95" s="98">
        <v>8422.621887224499</v>
      </c>
      <c r="AA95" s="98">
        <v>23.5</v>
      </c>
      <c r="AB95" s="98">
        <v>158</v>
      </c>
      <c r="AC95" s="98">
        <v>31278.265432687698</v>
      </c>
      <c r="AD95" s="98">
        <v>97</v>
      </c>
    </row>
    <row r="96" spans="1:30" x14ac:dyDescent="0.2">
      <c r="A96" s="3" t="str">
        <f t="shared" si="2"/>
        <v>202010</v>
      </c>
      <c r="B96" s="49">
        <f t="shared" si="3"/>
        <v>2020</v>
      </c>
      <c r="C96" s="52">
        <v>44135</v>
      </c>
      <c r="D96" s="53">
        <v>21294106.91</v>
      </c>
      <c r="E96" s="54">
        <v>270.3</v>
      </c>
      <c r="F96" s="54">
        <v>0</v>
      </c>
      <c r="G96" s="53">
        <v>31</v>
      </c>
      <c r="H96" s="53">
        <v>1</v>
      </c>
      <c r="I96" s="53">
        <v>336</v>
      </c>
      <c r="J96" s="53">
        <v>0</v>
      </c>
      <c r="K96" s="55">
        <v>72.400000000000006</v>
      </c>
      <c r="L96" s="53">
        <v>12689</v>
      </c>
      <c r="M96" s="53">
        <v>94</v>
      </c>
      <c r="N96" s="94">
        <v>732.2</v>
      </c>
      <c r="O96" s="56">
        <v>161.29821222715773</v>
      </c>
      <c r="P96" s="98">
        <v>6918210.3392725149</v>
      </c>
      <c r="Q96">
        <v>11406</v>
      </c>
      <c r="R96" s="98">
        <v>2592378.6203321288</v>
      </c>
      <c r="S96">
        <v>1159</v>
      </c>
      <c r="T96" s="98">
        <v>11006126.781794582</v>
      </c>
      <c r="U96" s="98">
        <v>23450.150000000005</v>
      </c>
      <c r="V96">
        <v>124</v>
      </c>
      <c r="W96" s="98">
        <v>81458.467703463422</v>
      </c>
      <c r="X96" s="98">
        <v>203.39000000000001</v>
      </c>
      <c r="Y96">
        <v>2950</v>
      </c>
      <c r="Z96" s="98">
        <v>8703.320293865092</v>
      </c>
      <c r="AA96" s="98">
        <v>23.2</v>
      </c>
      <c r="AB96" s="98">
        <v>158</v>
      </c>
      <c r="AC96" s="98">
        <v>31278.265432687698</v>
      </c>
      <c r="AD96" s="98">
        <v>97</v>
      </c>
    </row>
    <row r="97" spans="1:30" x14ac:dyDescent="0.2">
      <c r="A97" s="3" t="str">
        <f t="shared" si="2"/>
        <v>202011</v>
      </c>
      <c r="B97" s="49">
        <f t="shared" si="3"/>
        <v>2020</v>
      </c>
      <c r="C97" s="52">
        <v>44165</v>
      </c>
      <c r="D97" s="53">
        <v>21744994.359999999</v>
      </c>
      <c r="E97" s="54">
        <v>334.79999999999995</v>
      </c>
      <c r="F97" s="54">
        <v>0</v>
      </c>
      <c r="G97" s="53">
        <v>30</v>
      </c>
      <c r="H97" s="53">
        <v>1</v>
      </c>
      <c r="I97" s="53">
        <v>336</v>
      </c>
      <c r="J97" s="53">
        <v>0</v>
      </c>
      <c r="K97" s="55">
        <v>62.7</v>
      </c>
      <c r="L97" s="53">
        <v>12692</v>
      </c>
      <c r="M97" s="53">
        <v>95</v>
      </c>
      <c r="N97" s="94">
        <v>740</v>
      </c>
      <c r="O97" s="56">
        <v>160.59612851590967</v>
      </c>
      <c r="P97" s="98">
        <v>7210226.2281798469</v>
      </c>
      <c r="Q97">
        <v>11406</v>
      </c>
      <c r="R97" s="98">
        <v>2740358.5511899274</v>
      </c>
      <c r="S97">
        <v>1162</v>
      </c>
      <c r="T97" s="98">
        <v>10881525.698502051</v>
      </c>
      <c r="U97" s="98">
        <v>23995.87</v>
      </c>
      <c r="V97">
        <v>124</v>
      </c>
      <c r="W97" s="98">
        <v>90266.85430779506</v>
      </c>
      <c r="X97" s="98">
        <v>204.43</v>
      </c>
      <c r="Y97">
        <v>2962</v>
      </c>
      <c r="Z97" s="98">
        <v>8422.6218872244972</v>
      </c>
      <c r="AA97" s="98">
        <v>23.8</v>
      </c>
      <c r="AB97" s="98">
        <v>158</v>
      </c>
      <c r="AC97" s="98">
        <v>31278.265432687698</v>
      </c>
      <c r="AD97" s="98">
        <v>97</v>
      </c>
    </row>
    <row r="98" spans="1:30" x14ac:dyDescent="0.2">
      <c r="A98" s="3" t="str">
        <f t="shared" si="2"/>
        <v>202012</v>
      </c>
      <c r="B98" s="49">
        <f t="shared" si="3"/>
        <v>2020</v>
      </c>
      <c r="C98" s="52">
        <v>44196</v>
      </c>
      <c r="D98" s="53">
        <v>23632657.099999998</v>
      </c>
      <c r="E98" s="54">
        <v>567.29999999999995</v>
      </c>
      <c r="F98" s="54">
        <v>0</v>
      </c>
      <c r="G98" s="53">
        <v>31</v>
      </c>
      <c r="H98" s="53">
        <v>0</v>
      </c>
      <c r="I98" s="53">
        <v>336</v>
      </c>
      <c r="J98" s="53">
        <v>0</v>
      </c>
      <c r="K98" s="55">
        <v>60.3</v>
      </c>
      <c r="L98" s="53">
        <v>12697</v>
      </c>
      <c r="M98" s="53">
        <v>96</v>
      </c>
      <c r="N98" s="94">
        <v>746.5</v>
      </c>
      <c r="O98" s="56">
        <v>159.89710076870981</v>
      </c>
      <c r="P98" s="98">
        <v>8882828.7489523403</v>
      </c>
      <c r="Q98">
        <v>11409</v>
      </c>
      <c r="R98" s="98">
        <v>3084866.1869351207</v>
      </c>
      <c r="S98">
        <v>1164</v>
      </c>
      <c r="T98" s="98">
        <v>10702440.045654038</v>
      </c>
      <c r="U98" s="98">
        <v>23914.509999999995</v>
      </c>
      <c r="V98">
        <v>124</v>
      </c>
      <c r="W98" s="98">
        <v>96699.627898101331</v>
      </c>
      <c r="X98" s="98">
        <v>204.43</v>
      </c>
      <c r="Y98">
        <v>2962</v>
      </c>
      <c r="Z98" s="98">
        <v>8703.320293865092</v>
      </c>
      <c r="AA98" s="98">
        <v>23.5</v>
      </c>
      <c r="AB98" s="98">
        <v>158</v>
      </c>
      <c r="AC98" s="98">
        <v>31278.265432687698</v>
      </c>
      <c r="AD98" s="98">
        <v>97</v>
      </c>
    </row>
    <row r="99" spans="1:30" x14ac:dyDescent="0.2">
      <c r="A99" s="3" t="str">
        <f t="shared" si="2"/>
        <v>20211</v>
      </c>
      <c r="B99" s="49">
        <f t="shared" si="3"/>
        <v>2021</v>
      </c>
      <c r="C99" s="52">
        <v>44227</v>
      </c>
      <c r="D99" s="53">
        <v>23541928.949999999</v>
      </c>
      <c r="E99" s="54">
        <v>642.64999999999986</v>
      </c>
      <c r="F99" s="54">
        <v>0</v>
      </c>
      <c r="G99" s="53">
        <v>31</v>
      </c>
      <c r="H99" s="53">
        <v>0</v>
      </c>
      <c r="I99" s="53">
        <v>320</v>
      </c>
      <c r="J99" s="53">
        <v>0</v>
      </c>
      <c r="K99" s="55">
        <v>69.099999999999994</v>
      </c>
      <c r="L99" s="53">
        <v>12730</v>
      </c>
      <c r="M99" s="53">
        <v>97</v>
      </c>
      <c r="N99" s="94">
        <v>729.6</v>
      </c>
      <c r="O99" s="56">
        <v>160.45907401322623</v>
      </c>
      <c r="P99" s="98">
        <v>8894436.9961517211</v>
      </c>
      <c r="Q99">
        <v>11444</v>
      </c>
      <c r="R99" s="98">
        <v>3048798.9040485932</v>
      </c>
      <c r="S99">
        <v>1162</v>
      </c>
      <c r="T99" s="98">
        <v>10729367.215278441</v>
      </c>
      <c r="U99" s="98">
        <v>23463.84</v>
      </c>
      <c r="V99">
        <v>124</v>
      </c>
      <c r="W99" s="98">
        <v>94293.359412269812</v>
      </c>
      <c r="X99" s="98">
        <v>204.43</v>
      </c>
      <c r="Y99">
        <v>2962</v>
      </c>
      <c r="Z99" s="98">
        <v>8703.3202938650902</v>
      </c>
      <c r="AA99" s="98">
        <v>23.5</v>
      </c>
      <c r="AB99" s="98">
        <v>158</v>
      </c>
      <c r="AC99" s="98">
        <v>31278.265432687705</v>
      </c>
      <c r="AD99" s="98">
        <v>98</v>
      </c>
    </row>
    <row r="100" spans="1:30" x14ac:dyDescent="0.2">
      <c r="A100" s="3" t="str">
        <f t="shared" si="2"/>
        <v>20212</v>
      </c>
      <c r="B100" s="49">
        <f t="shared" si="3"/>
        <v>2021</v>
      </c>
      <c r="C100" s="52">
        <v>44255</v>
      </c>
      <c r="D100" s="53">
        <v>22305481.220000003</v>
      </c>
      <c r="E100" s="54">
        <v>653</v>
      </c>
      <c r="F100" s="54">
        <v>0</v>
      </c>
      <c r="G100" s="53">
        <v>28</v>
      </c>
      <c r="H100" s="53">
        <v>0</v>
      </c>
      <c r="I100" s="53">
        <v>304</v>
      </c>
      <c r="J100" s="53">
        <v>0</v>
      </c>
      <c r="K100" s="55">
        <v>76.5</v>
      </c>
      <c r="L100" s="53">
        <v>12738</v>
      </c>
      <c r="M100" s="53">
        <v>98</v>
      </c>
      <c r="N100" s="94">
        <v>721.1</v>
      </c>
      <c r="O100" s="56">
        <v>161.02302236502123</v>
      </c>
      <c r="P100" s="98">
        <v>8225098.6006424166</v>
      </c>
      <c r="Q100">
        <v>11447</v>
      </c>
      <c r="R100" s="98">
        <v>2932401.507489745</v>
      </c>
      <c r="S100">
        <v>1165</v>
      </c>
      <c r="T100" s="98">
        <v>10313448.016410649</v>
      </c>
      <c r="U100" s="98">
        <v>23811.390000000003</v>
      </c>
      <c r="V100">
        <v>126</v>
      </c>
      <c r="W100" s="98">
        <v>84887.463028336992</v>
      </c>
      <c r="X100" s="98">
        <v>204.43</v>
      </c>
      <c r="Y100">
        <v>2962</v>
      </c>
      <c r="Z100" s="98">
        <v>7861.0914989027751</v>
      </c>
      <c r="AA100" s="98">
        <v>23.5</v>
      </c>
      <c r="AB100" s="98">
        <v>158</v>
      </c>
      <c r="AC100" s="98">
        <v>31278.265432687705</v>
      </c>
      <c r="AD100" s="98">
        <v>98</v>
      </c>
    </row>
    <row r="101" spans="1:30" x14ac:dyDescent="0.2">
      <c r="A101" s="3" t="str">
        <f t="shared" si="2"/>
        <v>20213</v>
      </c>
      <c r="B101" s="49">
        <f t="shared" si="3"/>
        <v>2021</v>
      </c>
      <c r="C101" s="52">
        <v>44286</v>
      </c>
      <c r="D101" s="53">
        <v>23069807.16</v>
      </c>
      <c r="E101" s="54">
        <v>460.70000000000005</v>
      </c>
      <c r="F101" s="54">
        <v>0</v>
      </c>
      <c r="G101" s="53">
        <v>31</v>
      </c>
      <c r="H101" s="53">
        <v>1</v>
      </c>
      <c r="I101" s="53">
        <v>368</v>
      </c>
      <c r="J101" s="53">
        <v>0</v>
      </c>
      <c r="K101" s="55">
        <v>76.400000000000006</v>
      </c>
      <c r="L101" s="53">
        <v>12742</v>
      </c>
      <c r="M101" s="53">
        <v>99</v>
      </c>
      <c r="N101" s="94">
        <v>725.2</v>
      </c>
      <c r="O101" s="56">
        <v>161.58895276579321</v>
      </c>
      <c r="P101" s="98">
        <v>7769912.3957637604</v>
      </c>
      <c r="Q101">
        <v>11451</v>
      </c>
      <c r="R101" s="98">
        <v>3006411.0676462171</v>
      </c>
      <c r="S101">
        <v>1164</v>
      </c>
      <c r="T101" s="98">
        <v>11481981.605444774</v>
      </c>
      <c r="U101" s="98">
        <v>24653.66</v>
      </c>
      <c r="V101">
        <v>127</v>
      </c>
      <c r="W101" s="98">
        <v>75699.732849918903</v>
      </c>
      <c r="X101" s="98">
        <v>200.65</v>
      </c>
      <c r="Y101">
        <v>2962</v>
      </c>
      <c r="Z101" s="98">
        <v>8703.3202938650902</v>
      </c>
      <c r="AA101" s="98">
        <v>23.5</v>
      </c>
      <c r="AB101" s="98">
        <v>158</v>
      </c>
      <c r="AC101" s="98">
        <v>31278.265432687705</v>
      </c>
      <c r="AD101" s="98">
        <v>98</v>
      </c>
    </row>
    <row r="102" spans="1:30" x14ac:dyDescent="0.2">
      <c r="A102" s="3" t="str">
        <f t="shared" si="2"/>
        <v>20214</v>
      </c>
      <c r="B102" s="49">
        <f t="shared" si="3"/>
        <v>2021</v>
      </c>
      <c r="C102" s="52">
        <v>44316</v>
      </c>
      <c r="D102" s="53">
        <v>20252923.879999999</v>
      </c>
      <c r="E102" s="54">
        <v>302.39999999999998</v>
      </c>
      <c r="F102" s="54">
        <v>0</v>
      </c>
      <c r="G102" s="53">
        <v>30</v>
      </c>
      <c r="H102" s="53">
        <v>1</v>
      </c>
      <c r="I102" s="53">
        <v>336</v>
      </c>
      <c r="J102" s="53">
        <v>0</v>
      </c>
      <c r="K102" s="55">
        <v>70.900000000000006</v>
      </c>
      <c r="L102" s="53">
        <v>12754</v>
      </c>
      <c r="M102" s="53">
        <v>100</v>
      </c>
      <c r="N102" s="94">
        <v>742.7</v>
      </c>
      <c r="O102" s="56">
        <v>162.15687218163777</v>
      </c>
      <c r="P102" s="98">
        <v>6836007.7091880394</v>
      </c>
      <c r="Q102">
        <v>11461</v>
      </c>
      <c r="R102" s="98">
        <v>2455172.0732754515</v>
      </c>
      <c r="S102">
        <v>1166</v>
      </c>
      <c r="T102" s="98">
        <v>10497505.419330221</v>
      </c>
      <c r="U102" s="98">
        <v>24775.679999999993</v>
      </c>
      <c r="V102">
        <v>127</v>
      </c>
      <c r="W102" s="98">
        <v>62787.892376681615</v>
      </c>
      <c r="X102" s="98">
        <v>200.65</v>
      </c>
      <c r="Y102">
        <v>2963</v>
      </c>
      <c r="Z102" s="98">
        <v>8422.6218872245008</v>
      </c>
      <c r="AA102" s="98">
        <v>23.5</v>
      </c>
      <c r="AB102" s="98">
        <v>158</v>
      </c>
      <c r="AC102" s="98">
        <v>31278.265432687705</v>
      </c>
      <c r="AD102" s="98">
        <v>98</v>
      </c>
    </row>
    <row r="103" spans="1:30" x14ac:dyDescent="0.2">
      <c r="A103" s="3" t="str">
        <f t="shared" si="2"/>
        <v>20215</v>
      </c>
      <c r="B103" s="49">
        <f t="shared" si="3"/>
        <v>2021</v>
      </c>
      <c r="C103" s="52">
        <v>44347</v>
      </c>
      <c r="D103" s="53">
        <v>20759754.799999997</v>
      </c>
      <c r="E103" s="54">
        <v>164.2</v>
      </c>
      <c r="F103" s="54">
        <v>27.9</v>
      </c>
      <c r="G103" s="53">
        <v>31</v>
      </c>
      <c r="H103" s="53">
        <v>1</v>
      </c>
      <c r="I103" s="53">
        <v>320</v>
      </c>
      <c r="J103" s="53">
        <v>0</v>
      </c>
      <c r="K103" s="55">
        <v>65.099999999999994</v>
      </c>
      <c r="L103" s="53">
        <v>12759</v>
      </c>
      <c r="M103" s="53">
        <v>101</v>
      </c>
      <c r="N103" s="94">
        <v>755.4</v>
      </c>
      <c r="O103" s="56">
        <v>162.72678760313354</v>
      </c>
      <c r="P103" s="98">
        <v>7140557.738129315</v>
      </c>
      <c r="Q103">
        <v>11466</v>
      </c>
      <c r="R103" s="98">
        <v>2456459.9402092667</v>
      </c>
      <c r="S103">
        <v>1167</v>
      </c>
      <c r="T103" s="98">
        <v>10220394.684667496</v>
      </c>
      <c r="U103" s="98">
        <v>23840.209999999995</v>
      </c>
      <c r="V103">
        <v>126</v>
      </c>
      <c r="W103" s="98">
        <v>56627.964888846487</v>
      </c>
      <c r="X103" s="98">
        <v>200.65</v>
      </c>
      <c r="Y103">
        <v>2963</v>
      </c>
      <c r="Z103" s="98">
        <v>8703.3202938650884</v>
      </c>
      <c r="AA103" s="98">
        <v>23.5</v>
      </c>
      <c r="AB103" s="98">
        <v>158</v>
      </c>
      <c r="AC103" s="98">
        <v>31278.265432687705</v>
      </c>
      <c r="AD103" s="98">
        <v>98</v>
      </c>
    </row>
    <row r="104" spans="1:30" x14ac:dyDescent="0.2">
      <c r="A104" s="3" t="str">
        <f t="shared" si="2"/>
        <v>20216</v>
      </c>
      <c r="B104" s="49">
        <f t="shared" si="3"/>
        <v>2021</v>
      </c>
      <c r="C104" s="52">
        <v>44377</v>
      </c>
      <c r="D104" s="53">
        <v>22743690.300000001</v>
      </c>
      <c r="E104" s="54">
        <v>7.0000000000000009</v>
      </c>
      <c r="F104" s="54">
        <v>121.99999999999999</v>
      </c>
      <c r="G104" s="53">
        <v>30</v>
      </c>
      <c r="H104" s="53">
        <v>0</v>
      </c>
      <c r="I104" s="53">
        <v>352</v>
      </c>
      <c r="J104" s="53">
        <v>0</v>
      </c>
      <c r="K104" s="55">
        <v>62.2</v>
      </c>
      <c r="L104" s="53">
        <v>12760</v>
      </c>
      <c r="M104" s="53">
        <v>102</v>
      </c>
      <c r="N104" s="94">
        <v>761.8</v>
      </c>
      <c r="O104" s="56">
        <v>163.29870604542819</v>
      </c>
      <c r="P104" s="98">
        <v>8469368.4572082646</v>
      </c>
      <c r="Q104">
        <v>11466</v>
      </c>
      <c r="R104" s="98">
        <v>2676268.3236332368</v>
      </c>
      <c r="S104">
        <v>1167</v>
      </c>
      <c r="T104" s="98">
        <v>10781930.531437844</v>
      </c>
      <c r="U104" s="98">
        <v>25700.300000000007</v>
      </c>
      <c r="V104">
        <v>127</v>
      </c>
      <c r="W104" s="98">
        <v>48486.96689247209</v>
      </c>
      <c r="X104" s="98">
        <v>200.65</v>
      </c>
      <c r="Y104">
        <v>2963</v>
      </c>
      <c r="Z104" s="98">
        <v>8590.0200362560809</v>
      </c>
      <c r="AA104" s="98">
        <v>23.5</v>
      </c>
      <c r="AB104" s="98">
        <v>158</v>
      </c>
      <c r="AC104" s="98">
        <v>31278.265432687713</v>
      </c>
      <c r="AD104" s="98">
        <v>98</v>
      </c>
    </row>
    <row r="105" spans="1:30" x14ac:dyDescent="0.2">
      <c r="A105" s="3" t="str">
        <f t="shared" si="2"/>
        <v>20217</v>
      </c>
      <c r="B105" s="49">
        <f t="shared" si="3"/>
        <v>2021</v>
      </c>
      <c r="C105" s="52">
        <v>44408</v>
      </c>
      <c r="D105" s="53">
        <v>23381044.989999998</v>
      </c>
      <c r="E105" s="54">
        <v>4.4000000000000004</v>
      </c>
      <c r="F105" s="54">
        <v>105.75000000000001</v>
      </c>
      <c r="G105" s="53">
        <v>31</v>
      </c>
      <c r="H105" s="53">
        <v>0</v>
      </c>
      <c r="I105" s="53">
        <v>336</v>
      </c>
      <c r="J105" s="53">
        <v>0</v>
      </c>
      <c r="K105" s="55">
        <v>56.6</v>
      </c>
      <c r="L105" s="53">
        <v>12772</v>
      </c>
      <c r="M105" s="53">
        <v>103</v>
      </c>
      <c r="N105" s="94">
        <v>773.2</v>
      </c>
      <c r="O105" s="56">
        <v>163.87263454832475</v>
      </c>
      <c r="P105" s="98">
        <v>8526770.3180358242</v>
      </c>
      <c r="Q105">
        <v>11477</v>
      </c>
      <c r="R105" s="98">
        <v>2846220.9601501119</v>
      </c>
      <c r="S105">
        <v>1169</v>
      </c>
      <c r="T105" s="98">
        <v>11259842.816525137</v>
      </c>
      <c r="U105" s="98">
        <v>25649.360000000001</v>
      </c>
      <c r="V105">
        <v>126</v>
      </c>
      <c r="W105" s="98">
        <v>51306.039500047707</v>
      </c>
      <c r="X105" s="98">
        <v>200.65</v>
      </c>
      <c r="Y105">
        <v>2963</v>
      </c>
      <c r="Z105" s="98">
        <v>8535.9221448335084</v>
      </c>
      <c r="AA105" s="98">
        <v>23.5</v>
      </c>
      <c r="AB105" s="98">
        <v>158</v>
      </c>
      <c r="AC105" s="98">
        <v>31278.265432687698</v>
      </c>
      <c r="AD105" s="98">
        <v>98</v>
      </c>
    </row>
    <row r="106" spans="1:30" x14ac:dyDescent="0.2">
      <c r="A106" s="3" t="str">
        <f t="shared" si="2"/>
        <v>20218</v>
      </c>
      <c r="B106" s="49">
        <f t="shared" si="3"/>
        <v>2021</v>
      </c>
      <c r="C106" s="52">
        <v>44439</v>
      </c>
      <c r="D106" s="53">
        <v>25116099.290000003</v>
      </c>
      <c r="E106" s="54">
        <v>0.85</v>
      </c>
      <c r="F106" s="54">
        <v>179</v>
      </c>
      <c r="G106" s="53">
        <v>31</v>
      </c>
      <c r="H106" s="53">
        <v>0</v>
      </c>
      <c r="I106" s="53">
        <v>352</v>
      </c>
      <c r="J106" s="53">
        <v>0</v>
      </c>
      <c r="K106" s="55">
        <v>55.1</v>
      </c>
      <c r="L106" s="53">
        <v>12771</v>
      </c>
      <c r="M106" s="53">
        <v>104</v>
      </c>
      <c r="N106" s="94">
        <v>777.9</v>
      </c>
      <c r="O106" s="56">
        <v>164.4485801763683</v>
      </c>
      <c r="P106" s="98">
        <v>9788458.016092604</v>
      </c>
      <c r="Q106">
        <v>11477</v>
      </c>
      <c r="R106" s="98">
        <v>3091842.1963553098</v>
      </c>
      <c r="S106">
        <v>1168</v>
      </c>
      <c r="T106" s="98">
        <v>11426431.948287375</v>
      </c>
      <c r="U106" s="98">
        <v>26782.6</v>
      </c>
      <c r="V106">
        <v>126</v>
      </c>
      <c r="W106" s="98">
        <v>61664.936551855739</v>
      </c>
      <c r="X106" s="98">
        <v>200.65</v>
      </c>
      <c r="Y106">
        <v>2963</v>
      </c>
      <c r="Z106" s="98">
        <v>8737.5155042457791</v>
      </c>
      <c r="AA106" s="98">
        <v>23.5</v>
      </c>
      <c r="AB106" s="98">
        <v>158</v>
      </c>
      <c r="AC106" s="98">
        <v>31278.265432687705</v>
      </c>
      <c r="AD106" s="98">
        <v>98</v>
      </c>
    </row>
    <row r="107" spans="1:30" x14ac:dyDescent="0.2">
      <c r="A107" s="3" t="str">
        <f t="shared" si="2"/>
        <v>20219</v>
      </c>
      <c r="B107" s="49">
        <f t="shared" si="3"/>
        <v>2021</v>
      </c>
      <c r="C107" s="52">
        <v>44469</v>
      </c>
      <c r="D107" s="53">
        <v>20640267.599999998</v>
      </c>
      <c r="E107" s="54">
        <v>35.6</v>
      </c>
      <c r="F107" s="54">
        <v>24.900000000000002</v>
      </c>
      <c r="G107" s="53">
        <v>30</v>
      </c>
      <c r="H107" s="53">
        <v>1</v>
      </c>
      <c r="I107" s="53">
        <v>336</v>
      </c>
      <c r="J107" s="53">
        <v>0</v>
      </c>
      <c r="K107" s="55">
        <v>53.5</v>
      </c>
      <c r="L107" s="53">
        <v>12780</v>
      </c>
      <c r="M107" s="53">
        <v>105</v>
      </c>
      <c r="N107" s="94">
        <v>778.6</v>
      </c>
      <c r="O107" s="56">
        <v>165.02655001893294</v>
      </c>
      <c r="P107" s="98">
        <v>6635372.5789524065</v>
      </c>
      <c r="Q107">
        <v>11484</v>
      </c>
      <c r="R107" s="98">
        <v>2540398.5211334783</v>
      </c>
      <c r="S107">
        <v>1170</v>
      </c>
      <c r="T107" s="98">
        <v>10720316.582387174</v>
      </c>
      <c r="U107" s="98">
        <v>26113.09</v>
      </c>
      <c r="V107">
        <v>126</v>
      </c>
      <c r="W107" s="98">
        <v>68176.042362370004</v>
      </c>
      <c r="X107" s="98">
        <v>200.65</v>
      </c>
      <c r="Y107">
        <v>2963</v>
      </c>
      <c r="Z107" s="98">
        <v>8388.4171357694868</v>
      </c>
      <c r="AA107" s="98">
        <v>23.5</v>
      </c>
      <c r="AB107" s="98">
        <v>158</v>
      </c>
      <c r="AC107" s="98">
        <v>31278.265432687705</v>
      </c>
      <c r="AD107" s="98">
        <v>98</v>
      </c>
    </row>
    <row r="108" spans="1:30" x14ac:dyDescent="0.2">
      <c r="A108" s="3" t="str">
        <f t="shared" si="2"/>
        <v>202110</v>
      </c>
      <c r="B108" s="49">
        <f t="shared" si="3"/>
        <v>2021</v>
      </c>
      <c r="C108" s="52">
        <v>44500</v>
      </c>
      <c r="D108" s="53">
        <v>21195541.040000003</v>
      </c>
      <c r="E108" s="54">
        <v>145.19999999999999</v>
      </c>
      <c r="F108" s="54">
        <v>5.6000000000000005</v>
      </c>
      <c r="G108" s="53">
        <v>31</v>
      </c>
      <c r="H108" s="53">
        <v>1</v>
      </c>
      <c r="I108" s="53">
        <v>320</v>
      </c>
      <c r="J108" s="53">
        <v>0</v>
      </c>
      <c r="K108" s="55">
        <v>51</v>
      </c>
      <c r="L108" s="53">
        <v>12780</v>
      </c>
      <c r="M108" s="53">
        <v>106</v>
      </c>
      <c r="N108" s="94">
        <v>780.9</v>
      </c>
      <c r="O108" s="56">
        <v>165.60655119030903</v>
      </c>
      <c r="P108" s="98">
        <v>6765497.5886524776</v>
      </c>
      <c r="Q108">
        <v>11484</v>
      </c>
      <c r="R108" s="98">
        <v>2556312.1193906451</v>
      </c>
      <c r="S108">
        <v>1169</v>
      </c>
      <c r="T108" s="98">
        <v>11157034.792163603</v>
      </c>
      <c r="U108" s="98">
        <v>25741.740000000013</v>
      </c>
      <c r="V108">
        <v>127</v>
      </c>
      <c r="W108" s="98">
        <v>80340.349203320293</v>
      </c>
      <c r="X108" s="98">
        <v>200.65</v>
      </c>
      <c r="Y108">
        <v>2963</v>
      </c>
      <c r="Z108" s="98">
        <v>8703.3202938650902</v>
      </c>
      <c r="AA108" s="98">
        <v>23.5</v>
      </c>
      <c r="AB108" s="98">
        <v>158</v>
      </c>
      <c r="AC108" s="98">
        <v>31278.265432687713</v>
      </c>
      <c r="AD108" s="98">
        <v>98</v>
      </c>
    </row>
    <row r="109" spans="1:30" x14ac:dyDescent="0.2">
      <c r="A109" s="3" t="str">
        <f t="shared" si="2"/>
        <v>202111</v>
      </c>
      <c r="B109" s="49">
        <f t="shared" si="3"/>
        <v>2021</v>
      </c>
      <c r="C109" s="52">
        <v>44530</v>
      </c>
      <c r="D109" s="53">
        <v>22402599.130000003</v>
      </c>
      <c r="E109" s="54">
        <v>413.7</v>
      </c>
      <c r="F109" s="54">
        <v>0</v>
      </c>
      <c r="G109" s="53">
        <v>30</v>
      </c>
      <c r="H109" s="53">
        <v>1</v>
      </c>
      <c r="I109" s="53">
        <v>352</v>
      </c>
      <c r="J109" s="53">
        <v>0</v>
      </c>
      <c r="K109" s="55">
        <v>44</v>
      </c>
      <c r="L109" s="53">
        <v>12776</v>
      </c>
      <c r="M109" s="53">
        <v>107</v>
      </c>
      <c r="N109" s="94">
        <v>787</v>
      </c>
      <c r="O109" s="56">
        <v>166.18859082979077</v>
      </c>
      <c r="P109" s="98">
        <v>7412108.230398397</v>
      </c>
      <c r="Q109">
        <v>11484</v>
      </c>
      <c r="R109" s="98">
        <v>2833617.4410838671</v>
      </c>
      <c r="S109">
        <v>1166</v>
      </c>
      <c r="T109" s="98">
        <v>11398721.610533345</v>
      </c>
      <c r="U109" s="98">
        <v>25162.09</v>
      </c>
      <c r="V109">
        <v>126</v>
      </c>
      <c r="W109" s="98">
        <v>89929.720446522275</v>
      </c>
      <c r="X109" s="98">
        <v>203.45000000000002</v>
      </c>
      <c r="Y109">
        <v>2982</v>
      </c>
      <c r="Z109" s="98">
        <v>8422.6218872245008</v>
      </c>
      <c r="AA109" s="98">
        <v>23.5</v>
      </c>
      <c r="AB109" s="98">
        <v>158</v>
      </c>
      <c r="AC109" s="98">
        <v>31278.265432687713</v>
      </c>
      <c r="AD109" s="98">
        <v>98</v>
      </c>
    </row>
    <row r="110" spans="1:30" x14ac:dyDescent="0.2">
      <c r="A110" s="3" t="str">
        <f t="shared" si="2"/>
        <v>202112</v>
      </c>
      <c r="B110" s="49">
        <f t="shared" si="3"/>
        <v>2021</v>
      </c>
      <c r="C110" s="52">
        <v>44561</v>
      </c>
      <c r="D110" s="53">
        <v>23318783.640000001</v>
      </c>
      <c r="E110" s="54">
        <v>500.6</v>
      </c>
      <c r="F110" s="54">
        <v>0</v>
      </c>
      <c r="G110" s="53">
        <v>31</v>
      </c>
      <c r="H110" s="53">
        <v>0</v>
      </c>
      <c r="I110" s="53">
        <v>336</v>
      </c>
      <c r="J110" s="53">
        <v>0</v>
      </c>
      <c r="K110" s="55">
        <v>40.4</v>
      </c>
      <c r="L110" s="53">
        <v>12774</v>
      </c>
      <c r="M110" s="53">
        <v>108</v>
      </c>
      <c r="N110" s="94">
        <v>784.8</v>
      </c>
      <c r="O110" s="56">
        <v>166.77267610176432</v>
      </c>
      <c r="P110" s="98">
        <v>8623736.9269831013</v>
      </c>
      <c r="Q110">
        <v>11484</v>
      </c>
      <c r="R110" s="98">
        <v>3089626.2078954987</v>
      </c>
      <c r="S110">
        <v>1166</v>
      </c>
      <c r="T110" s="98">
        <v>10772611.697357118</v>
      </c>
      <c r="U110" s="98">
        <v>25981.659999999989</v>
      </c>
      <c r="V110">
        <v>124</v>
      </c>
      <c r="W110" s="98">
        <v>95917.364755271439</v>
      </c>
      <c r="X110" s="98">
        <v>202.84</v>
      </c>
      <c r="Y110">
        <v>2982</v>
      </c>
      <c r="Z110" s="98">
        <v>8703.3202938650866</v>
      </c>
      <c r="AA110" s="98">
        <v>23.5</v>
      </c>
      <c r="AB110" s="98">
        <v>158</v>
      </c>
      <c r="AC110" s="98">
        <v>31278.265432687705</v>
      </c>
      <c r="AD110" s="98">
        <v>98</v>
      </c>
    </row>
    <row r="111" spans="1:30" x14ac:dyDescent="0.2">
      <c r="A111" s="3" t="str">
        <f t="shared" si="2"/>
        <v>20221</v>
      </c>
      <c r="B111" s="49">
        <f t="shared" si="3"/>
        <v>2022</v>
      </c>
      <c r="C111" s="52">
        <v>44592</v>
      </c>
      <c r="D111" s="53">
        <v>25489220.849999998</v>
      </c>
      <c r="E111" s="54">
        <v>809.35</v>
      </c>
      <c r="F111" s="54">
        <v>0</v>
      </c>
      <c r="G111" s="53">
        <v>31</v>
      </c>
      <c r="H111" s="53">
        <v>0</v>
      </c>
      <c r="I111" s="53">
        <v>320</v>
      </c>
      <c r="J111" s="53">
        <v>0</v>
      </c>
      <c r="K111" s="55">
        <v>41.4</v>
      </c>
      <c r="L111" s="53">
        <v>12781</v>
      </c>
      <c r="M111" s="53">
        <v>109</v>
      </c>
      <c r="N111" s="94">
        <v>774</v>
      </c>
      <c r="O111" s="56">
        <v>167.12978112022378</v>
      </c>
      <c r="P111" s="98">
        <v>9641209.2548421528</v>
      </c>
      <c r="Q111">
        <v>11490</v>
      </c>
      <c r="R111" s="98">
        <v>3388924.1007537455</v>
      </c>
      <c r="S111">
        <v>1166</v>
      </c>
      <c r="T111" s="98">
        <v>11582229.949432304</v>
      </c>
      <c r="U111" s="98">
        <v>25339.699999999997</v>
      </c>
      <c r="V111">
        <v>125</v>
      </c>
      <c r="W111" s="98">
        <v>93597.662436790371</v>
      </c>
      <c r="X111" s="98">
        <v>202.84</v>
      </c>
      <c r="Y111">
        <v>2985</v>
      </c>
      <c r="Z111" s="98">
        <v>8703.3107527907632</v>
      </c>
      <c r="AA111" s="98">
        <v>23.5</v>
      </c>
      <c r="AB111" s="98">
        <v>158</v>
      </c>
      <c r="AC111" s="98">
        <v>31278.265432687713</v>
      </c>
      <c r="AD111" s="98">
        <v>98</v>
      </c>
    </row>
    <row r="112" spans="1:30" x14ac:dyDescent="0.2">
      <c r="A112" s="3" t="str">
        <f t="shared" si="2"/>
        <v>20222</v>
      </c>
      <c r="B112" s="49">
        <f t="shared" si="3"/>
        <v>2022</v>
      </c>
      <c r="C112" s="52">
        <v>44620</v>
      </c>
      <c r="D112" s="53">
        <v>23005811.43</v>
      </c>
      <c r="E112" s="54">
        <v>626.54999999999995</v>
      </c>
      <c r="F112" s="54">
        <v>0</v>
      </c>
      <c r="G112" s="53">
        <v>28</v>
      </c>
      <c r="H112" s="53">
        <v>0</v>
      </c>
      <c r="I112" s="53">
        <v>304</v>
      </c>
      <c r="J112" s="53">
        <v>0</v>
      </c>
      <c r="K112" s="55">
        <v>41.2</v>
      </c>
      <c r="L112" s="53">
        <v>12784</v>
      </c>
      <c r="M112" s="53">
        <v>110</v>
      </c>
      <c r="N112" s="94">
        <v>766.1</v>
      </c>
      <c r="O112" s="56">
        <v>167.48765079628296</v>
      </c>
      <c r="P112" s="98">
        <v>8224390.8119454375</v>
      </c>
      <c r="Q112">
        <v>11492</v>
      </c>
      <c r="R112" s="98">
        <v>3049284.1618166128</v>
      </c>
      <c r="S112">
        <v>1166</v>
      </c>
      <c r="T112" s="98">
        <v>10937183.331743153</v>
      </c>
      <c r="U112" s="98">
        <v>25437.650000000009</v>
      </c>
      <c r="V112">
        <v>126</v>
      </c>
      <c r="W112" s="98">
        <v>84992.701078141399</v>
      </c>
      <c r="X112" s="98">
        <v>202.84</v>
      </c>
      <c r="Y112">
        <v>2985</v>
      </c>
      <c r="Z112" s="98">
        <v>8422.621887224499</v>
      </c>
      <c r="AA112" s="98">
        <v>23.7</v>
      </c>
      <c r="AB112" s="98">
        <v>158</v>
      </c>
      <c r="AC112" s="98">
        <v>31278.26543268772</v>
      </c>
      <c r="AD112" s="98">
        <v>98</v>
      </c>
    </row>
    <row r="113" spans="1:30" x14ac:dyDescent="0.2">
      <c r="A113" s="3" t="str">
        <f t="shared" si="2"/>
        <v>20223</v>
      </c>
      <c r="B113" s="49">
        <f t="shared" si="3"/>
        <v>2022</v>
      </c>
      <c r="C113" s="52">
        <v>44651</v>
      </c>
      <c r="D113" s="53">
        <v>24103482.41</v>
      </c>
      <c r="E113" s="54">
        <v>523.90000000000009</v>
      </c>
      <c r="F113" s="54">
        <v>0</v>
      </c>
      <c r="G113" s="53">
        <v>31</v>
      </c>
      <c r="H113" s="53">
        <v>1</v>
      </c>
      <c r="I113" s="53">
        <v>368</v>
      </c>
      <c r="J113" s="53">
        <v>0</v>
      </c>
      <c r="K113" s="55">
        <v>45.3</v>
      </c>
      <c r="L113" s="53">
        <v>12795</v>
      </c>
      <c r="M113" s="53">
        <v>111</v>
      </c>
      <c r="N113" s="94">
        <v>766.5</v>
      </c>
      <c r="O113" s="56">
        <v>167.84628676727883</v>
      </c>
      <c r="P113" s="98">
        <v>8160249.6612918293</v>
      </c>
      <c r="Q113">
        <v>11503</v>
      </c>
      <c r="R113" s="98">
        <v>3161931.9530579131</v>
      </c>
      <c r="S113">
        <v>1166</v>
      </c>
      <c r="T113" s="98">
        <v>11999940.864421329</v>
      </c>
      <c r="U113" s="98">
        <v>25472.080000000009</v>
      </c>
      <c r="V113">
        <v>126</v>
      </c>
      <c r="W113" s="98">
        <v>76610.476099608815</v>
      </c>
      <c r="X113" s="98">
        <v>202.84</v>
      </c>
      <c r="Y113">
        <v>2985</v>
      </c>
      <c r="Z113" s="98">
        <v>8271.4244823967201</v>
      </c>
      <c r="AA113" s="98">
        <v>23.5</v>
      </c>
      <c r="AB113" s="98">
        <v>158</v>
      </c>
      <c r="AC113" s="98">
        <v>31278.26543268772</v>
      </c>
      <c r="AD113" s="98">
        <v>98</v>
      </c>
    </row>
    <row r="114" spans="1:30" x14ac:dyDescent="0.2">
      <c r="A114" s="3" t="str">
        <f t="shared" si="2"/>
        <v>20224</v>
      </c>
      <c r="B114" s="49">
        <f t="shared" si="3"/>
        <v>2022</v>
      </c>
      <c r="C114" s="52">
        <v>44681</v>
      </c>
      <c r="D114" s="53">
        <v>21054165.982828289</v>
      </c>
      <c r="E114" s="54">
        <v>339.94999999999993</v>
      </c>
      <c r="F114" s="54">
        <v>0</v>
      </c>
      <c r="G114" s="53">
        <v>30</v>
      </c>
      <c r="H114" s="53">
        <v>1</v>
      </c>
      <c r="I114" s="53">
        <v>320</v>
      </c>
      <c r="J114" s="53">
        <v>0</v>
      </c>
      <c r="K114" s="55">
        <v>42.3</v>
      </c>
      <c r="L114" s="53">
        <v>12798</v>
      </c>
      <c r="M114" s="53">
        <v>112</v>
      </c>
      <c r="N114" s="94">
        <v>781.3</v>
      </c>
      <c r="O114" s="56">
        <v>168.20569067405432</v>
      </c>
      <c r="P114" s="98">
        <v>6962715.8954298301</v>
      </c>
      <c r="Q114">
        <v>11505</v>
      </c>
      <c r="R114" s="98">
        <v>2732704.589256749</v>
      </c>
      <c r="S114">
        <v>1167</v>
      </c>
      <c r="T114" s="98">
        <v>10866463.056960216</v>
      </c>
      <c r="U114" s="98">
        <v>25719.379999999997</v>
      </c>
      <c r="V114">
        <v>126</v>
      </c>
      <c r="W114" s="98">
        <v>63548.688102280321</v>
      </c>
      <c r="X114" s="98">
        <v>202.84</v>
      </c>
      <c r="Y114">
        <v>2985</v>
      </c>
      <c r="Z114" s="98">
        <v>8260.6239862608527</v>
      </c>
      <c r="AA114" s="98">
        <v>23.5</v>
      </c>
      <c r="AB114" s="98">
        <v>157</v>
      </c>
      <c r="AC114" s="98">
        <v>31278.265432687705</v>
      </c>
      <c r="AD114" s="98">
        <v>98</v>
      </c>
    </row>
    <row r="115" spans="1:30" x14ac:dyDescent="0.2">
      <c r="A115" s="3" t="str">
        <f t="shared" si="2"/>
        <v>20225</v>
      </c>
      <c r="B115" s="49">
        <f t="shared" si="3"/>
        <v>2022</v>
      </c>
      <c r="C115" s="52">
        <v>44712</v>
      </c>
      <c r="D115" s="53">
        <v>21880073.671260841</v>
      </c>
      <c r="E115" s="54">
        <v>108.24999999999997</v>
      </c>
      <c r="F115" s="54">
        <v>36.75</v>
      </c>
      <c r="G115" s="53">
        <v>31</v>
      </c>
      <c r="H115" s="53">
        <v>1</v>
      </c>
      <c r="I115" s="53">
        <v>336</v>
      </c>
      <c r="J115" s="53">
        <v>0</v>
      </c>
      <c r="K115" s="55">
        <v>43.3</v>
      </c>
      <c r="L115" s="53">
        <v>12809</v>
      </c>
      <c r="M115" s="53">
        <v>113</v>
      </c>
      <c r="N115" s="94">
        <v>791.5</v>
      </c>
      <c r="O115" s="56">
        <v>168.56586416096587</v>
      </c>
      <c r="P115" s="98">
        <v>7067773.5330598233</v>
      </c>
      <c r="Q115">
        <v>11514</v>
      </c>
      <c r="R115" s="98">
        <v>2741592.386222688</v>
      </c>
      <c r="S115">
        <v>1169</v>
      </c>
      <c r="T115" s="98">
        <v>11394969.974239094</v>
      </c>
      <c r="U115" s="98">
        <v>27338.529999999995</v>
      </c>
      <c r="V115">
        <v>126</v>
      </c>
      <c r="W115" s="98">
        <v>57328.97624272493</v>
      </c>
      <c r="X115" s="98">
        <v>202.84</v>
      </c>
      <c r="Y115">
        <v>2985</v>
      </c>
      <c r="Z115" s="98">
        <v>8260.6239862608545</v>
      </c>
      <c r="AA115" s="98">
        <v>23</v>
      </c>
      <c r="AB115" s="98">
        <v>157</v>
      </c>
      <c r="AC115" s="98">
        <v>31278.265432687705</v>
      </c>
      <c r="AD115" s="98">
        <v>98</v>
      </c>
    </row>
    <row r="116" spans="1:30" x14ac:dyDescent="0.2">
      <c r="A116" s="3" t="str">
        <f t="shared" si="2"/>
        <v>20226</v>
      </c>
      <c r="B116" s="49">
        <f t="shared" si="3"/>
        <v>2022</v>
      </c>
      <c r="C116" s="52">
        <v>44742</v>
      </c>
      <c r="D116" s="53">
        <v>22588251.5</v>
      </c>
      <c r="E116" s="54">
        <v>17.699999999999996</v>
      </c>
      <c r="F116" s="54">
        <v>64.2</v>
      </c>
      <c r="G116" s="53">
        <v>30</v>
      </c>
      <c r="H116" s="53">
        <v>0</v>
      </c>
      <c r="I116" s="53">
        <v>352</v>
      </c>
      <c r="J116" s="53">
        <v>0</v>
      </c>
      <c r="K116" s="55">
        <v>38.9</v>
      </c>
      <c r="L116" s="53">
        <v>12821</v>
      </c>
      <c r="M116" s="53">
        <v>114</v>
      </c>
      <c r="N116" s="94">
        <v>802.3</v>
      </c>
      <c r="O116" s="56">
        <v>168.92680887589088</v>
      </c>
      <c r="P116" s="98">
        <v>7723871.1477912385</v>
      </c>
      <c r="Q116">
        <v>11528</v>
      </c>
      <c r="R116" s="98">
        <v>2791478.6566167357</v>
      </c>
      <c r="S116">
        <v>1167</v>
      </c>
      <c r="T116" s="98">
        <v>11257810.943612255</v>
      </c>
      <c r="U116" s="98">
        <v>27864.360000000008</v>
      </c>
      <c r="V116">
        <v>126</v>
      </c>
      <c r="W116" s="98">
        <v>49058.17193015934</v>
      </c>
      <c r="X116" s="98">
        <v>202.84</v>
      </c>
      <c r="Y116">
        <v>2985</v>
      </c>
      <c r="Z116" s="98">
        <v>8260.6239862608527</v>
      </c>
      <c r="AA116" s="98">
        <v>23</v>
      </c>
      <c r="AB116" s="98">
        <v>157</v>
      </c>
      <c r="AC116" s="98">
        <v>31278.265432687713</v>
      </c>
      <c r="AD116" s="98">
        <v>98</v>
      </c>
    </row>
    <row r="117" spans="1:30" x14ac:dyDescent="0.2">
      <c r="A117" s="3" t="str">
        <f t="shared" si="2"/>
        <v>20227</v>
      </c>
      <c r="B117" s="49">
        <f t="shared" si="3"/>
        <v>2022</v>
      </c>
      <c r="C117" s="52">
        <v>44773</v>
      </c>
      <c r="D117" s="53">
        <v>24276339.489999998</v>
      </c>
      <c r="E117" s="54">
        <v>0</v>
      </c>
      <c r="F117" s="54">
        <v>144.69999999999996</v>
      </c>
      <c r="G117" s="53">
        <v>31</v>
      </c>
      <c r="H117" s="53">
        <v>0</v>
      </c>
      <c r="I117" s="53">
        <v>320</v>
      </c>
      <c r="J117" s="53">
        <v>0</v>
      </c>
      <c r="K117" s="55">
        <v>39.799999999999997</v>
      </c>
      <c r="L117" s="53">
        <v>12828</v>
      </c>
      <c r="M117" s="53">
        <v>115</v>
      </c>
      <c r="N117" s="94">
        <v>807.5</v>
      </c>
      <c r="O117" s="56">
        <v>169.28852647023535</v>
      </c>
      <c r="P117" s="98">
        <v>8827514.5692204721</v>
      </c>
      <c r="Q117">
        <v>11532</v>
      </c>
      <c r="R117" s="98">
        <v>2980977.2827020301</v>
      </c>
      <c r="S117">
        <v>1170</v>
      </c>
      <c r="T117" s="98">
        <v>11631886.222688677</v>
      </c>
      <c r="U117" s="98">
        <v>27292.46000000001</v>
      </c>
      <c r="V117">
        <v>126</v>
      </c>
      <c r="W117" s="98">
        <v>51909.569697547944</v>
      </c>
      <c r="X117" s="98">
        <v>202.84</v>
      </c>
      <c r="Y117">
        <v>2985</v>
      </c>
      <c r="Z117" s="98">
        <v>8260.6239862608545</v>
      </c>
      <c r="AA117" s="98">
        <v>23</v>
      </c>
      <c r="AB117" s="98">
        <v>157</v>
      </c>
      <c r="AC117" s="98">
        <v>31278.265432687705</v>
      </c>
      <c r="AD117" s="98">
        <v>98</v>
      </c>
    </row>
    <row r="118" spans="1:30" x14ac:dyDescent="0.2">
      <c r="A118" s="3" t="str">
        <f t="shared" si="2"/>
        <v>20228</v>
      </c>
      <c r="B118" s="49">
        <f t="shared" si="3"/>
        <v>2022</v>
      </c>
      <c r="C118" s="52">
        <v>44804</v>
      </c>
      <c r="D118" s="53">
        <v>24568812.140000001</v>
      </c>
      <c r="E118" s="54">
        <v>0</v>
      </c>
      <c r="F118" s="54">
        <v>140.49999999999997</v>
      </c>
      <c r="G118" s="53">
        <v>31</v>
      </c>
      <c r="H118" s="53">
        <v>0</v>
      </c>
      <c r="I118" s="53">
        <v>368</v>
      </c>
      <c r="J118" s="53">
        <v>0</v>
      </c>
      <c r="K118" s="55">
        <v>44.4</v>
      </c>
      <c r="L118" s="53">
        <v>12835</v>
      </c>
      <c r="M118" s="53">
        <v>116</v>
      </c>
      <c r="N118" s="94">
        <v>816.9</v>
      </c>
      <c r="O118" s="56">
        <v>169.65101859894136</v>
      </c>
      <c r="P118" s="98">
        <v>8841929.3769678231</v>
      </c>
      <c r="Q118">
        <v>11540</v>
      </c>
      <c r="R118" s="98">
        <v>2999736.8762522629</v>
      </c>
      <c r="S118">
        <v>1169</v>
      </c>
      <c r="T118" s="98">
        <v>11892962.608529724</v>
      </c>
      <c r="U118" s="98">
        <v>27807.489999999998</v>
      </c>
      <c r="V118">
        <v>126</v>
      </c>
      <c r="W118" s="98">
        <v>62320.255700791909</v>
      </c>
      <c r="X118" s="98">
        <v>202.84</v>
      </c>
      <c r="Y118">
        <v>2985</v>
      </c>
      <c r="Z118" s="98">
        <v>8260.6239862608527</v>
      </c>
      <c r="AA118" s="98">
        <v>23</v>
      </c>
      <c r="AB118" s="98">
        <v>157</v>
      </c>
      <c r="AC118" s="98">
        <v>31278.26543268772</v>
      </c>
      <c r="AD118" s="98">
        <v>98</v>
      </c>
    </row>
    <row r="119" spans="1:30" x14ac:dyDescent="0.2">
      <c r="A119" s="3" t="str">
        <f t="shared" si="2"/>
        <v>20229</v>
      </c>
      <c r="B119" s="49">
        <f t="shared" si="3"/>
        <v>2022</v>
      </c>
      <c r="C119" s="52">
        <v>44834</v>
      </c>
      <c r="D119" s="53">
        <v>21763225.319999997</v>
      </c>
      <c r="E119" s="54">
        <v>52.3</v>
      </c>
      <c r="F119" s="54">
        <v>49.15</v>
      </c>
      <c r="G119" s="53">
        <v>30</v>
      </c>
      <c r="H119" s="53">
        <v>1</v>
      </c>
      <c r="I119" s="53">
        <v>336</v>
      </c>
      <c r="J119" s="53">
        <v>0</v>
      </c>
      <c r="K119" s="55">
        <v>48.8</v>
      </c>
      <c r="L119" s="53">
        <v>12839</v>
      </c>
      <c r="M119" s="53">
        <v>117</v>
      </c>
      <c r="N119" s="94">
        <v>816.5</v>
      </c>
      <c r="O119" s="56">
        <v>170.01428692049467</v>
      </c>
      <c r="P119" s="98">
        <v>7048738.4123652317</v>
      </c>
      <c r="Q119">
        <v>11545</v>
      </c>
      <c r="R119" s="98">
        <v>2656267.4649365516</v>
      </c>
      <c r="S119">
        <v>1168</v>
      </c>
      <c r="T119" s="98">
        <v>11310091.527526002</v>
      </c>
      <c r="U119" s="98">
        <v>27297.190000000002</v>
      </c>
      <c r="V119">
        <v>126</v>
      </c>
      <c r="W119" s="98">
        <v>68888.226314282991</v>
      </c>
      <c r="X119" s="98">
        <v>202.84</v>
      </c>
      <c r="Y119">
        <v>2985</v>
      </c>
      <c r="Z119" s="98">
        <v>8260.6239862608545</v>
      </c>
      <c r="AA119" s="98">
        <v>23</v>
      </c>
      <c r="AB119" s="98">
        <v>157</v>
      </c>
      <c r="AC119" s="98">
        <v>31278.265432687705</v>
      </c>
      <c r="AD119" s="98">
        <v>98</v>
      </c>
    </row>
    <row r="120" spans="1:30" x14ac:dyDescent="0.2">
      <c r="A120" s="3" t="str">
        <f t="shared" si="2"/>
        <v>202210</v>
      </c>
      <c r="B120" s="49">
        <f t="shared" si="3"/>
        <v>2022</v>
      </c>
      <c r="C120" s="52">
        <v>44865</v>
      </c>
      <c r="D120" s="53">
        <v>21332534.440000001</v>
      </c>
      <c r="E120" s="54">
        <v>236.70000000000002</v>
      </c>
      <c r="F120" s="54">
        <v>0.2</v>
      </c>
      <c r="G120" s="53">
        <v>31</v>
      </c>
      <c r="H120" s="53">
        <v>1</v>
      </c>
      <c r="I120" s="53">
        <v>320</v>
      </c>
      <c r="J120" s="53">
        <v>0</v>
      </c>
      <c r="K120" s="55">
        <v>49.8</v>
      </c>
      <c r="L120" s="53">
        <v>12844</v>
      </c>
      <c r="M120" s="53">
        <v>118</v>
      </c>
      <c r="N120" s="94">
        <v>821.6</v>
      </c>
      <c r="O120" s="56">
        <v>170.37833309693227</v>
      </c>
      <c r="P120" s="98">
        <v>6689866.3963362388</v>
      </c>
      <c r="Q120">
        <v>11550</v>
      </c>
      <c r="R120" s="98">
        <v>2633601.4216200733</v>
      </c>
      <c r="S120">
        <v>1168</v>
      </c>
      <c r="T120" s="98">
        <v>11261196.641541831</v>
      </c>
      <c r="U120" s="98">
        <v>26007.779999999995</v>
      </c>
      <c r="V120">
        <v>126</v>
      </c>
      <c r="W120" s="98">
        <v>81175.918328403772</v>
      </c>
      <c r="X120" s="98">
        <v>202.84</v>
      </c>
      <c r="Y120">
        <v>2985</v>
      </c>
      <c r="Z120" s="98">
        <v>8260.6239862608545</v>
      </c>
      <c r="AA120" s="98">
        <v>23</v>
      </c>
      <c r="AB120" s="98">
        <v>157</v>
      </c>
      <c r="AC120" s="98">
        <v>31278.265432687705</v>
      </c>
      <c r="AD120" s="98">
        <v>98</v>
      </c>
    </row>
    <row r="121" spans="1:30" x14ac:dyDescent="0.2">
      <c r="A121" s="3" t="str">
        <f t="shared" si="2"/>
        <v>202211</v>
      </c>
      <c r="B121" s="49">
        <f t="shared" si="3"/>
        <v>2022</v>
      </c>
      <c r="C121" s="52">
        <v>44895</v>
      </c>
      <c r="D121" s="53">
        <v>22267327.43</v>
      </c>
      <c r="E121" s="54">
        <v>380.09999999999997</v>
      </c>
      <c r="F121" s="54">
        <v>0.9</v>
      </c>
      <c r="G121" s="53">
        <v>30</v>
      </c>
      <c r="H121" s="53">
        <v>1</v>
      </c>
      <c r="I121" s="53">
        <v>352</v>
      </c>
      <c r="J121" s="53">
        <v>0</v>
      </c>
      <c r="K121" s="55">
        <v>45.6</v>
      </c>
      <c r="L121" s="53">
        <v>12842</v>
      </c>
      <c r="M121" s="53">
        <v>119</v>
      </c>
      <c r="N121" s="94">
        <v>820.4</v>
      </c>
      <c r="O121" s="56">
        <v>170.74315879385006</v>
      </c>
      <c r="P121" s="98">
        <v>7272501.1640110612</v>
      </c>
      <c r="Q121">
        <v>11556</v>
      </c>
      <c r="R121" s="98">
        <v>2868050.5009063985</v>
      </c>
      <c r="S121">
        <v>1161</v>
      </c>
      <c r="T121" s="98">
        <v>11340747.247400058</v>
      </c>
      <c r="U121" s="98">
        <v>26058.44</v>
      </c>
      <c r="V121">
        <v>125</v>
      </c>
      <c r="W121" s="98">
        <v>89658.267340902588</v>
      </c>
      <c r="X121" s="98">
        <v>202.84</v>
      </c>
      <c r="Y121">
        <v>2985</v>
      </c>
      <c r="Z121" s="98">
        <v>8260.6239862608527</v>
      </c>
      <c r="AA121" s="98">
        <v>23</v>
      </c>
      <c r="AB121" s="98">
        <v>157</v>
      </c>
      <c r="AC121" s="98">
        <v>31278.265432687705</v>
      </c>
      <c r="AD121" s="98">
        <v>98</v>
      </c>
    </row>
    <row r="122" spans="1:30" x14ac:dyDescent="0.2">
      <c r="A122" s="3" t="str">
        <f t="shared" si="2"/>
        <v>202212</v>
      </c>
      <c r="B122" s="49">
        <f t="shared" si="3"/>
        <v>2022</v>
      </c>
      <c r="C122" s="52">
        <v>44926</v>
      </c>
      <c r="D122" s="53">
        <v>23648226.640000001</v>
      </c>
      <c r="E122" s="54">
        <v>575.29999999999984</v>
      </c>
      <c r="F122" s="54">
        <v>0</v>
      </c>
      <c r="G122" s="53">
        <v>31</v>
      </c>
      <c r="H122" s="53">
        <v>0</v>
      </c>
      <c r="I122" s="53">
        <v>320</v>
      </c>
      <c r="J122" s="53">
        <v>0</v>
      </c>
      <c r="K122" s="55">
        <v>44.2</v>
      </c>
      <c r="L122" s="53">
        <v>12846</v>
      </c>
      <c r="M122" s="53">
        <v>120</v>
      </c>
      <c r="N122" s="94">
        <v>825.7</v>
      </c>
      <c r="O122" s="56">
        <v>171.10876568041019</v>
      </c>
      <c r="P122" s="98">
        <v>8910867.4974489491</v>
      </c>
      <c r="Q122">
        <v>11560</v>
      </c>
      <c r="R122" s="98">
        <v>3231314.0805829647</v>
      </c>
      <c r="S122">
        <v>1161</v>
      </c>
      <c r="T122" s="98">
        <v>10683883.7229272</v>
      </c>
      <c r="U122" s="98">
        <v>26046.399999999998</v>
      </c>
      <c r="V122">
        <v>125</v>
      </c>
      <c r="W122" s="98">
        <v>95917.364755271439</v>
      </c>
      <c r="X122" s="98">
        <v>202.84</v>
      </c>
      <c r="Y122">
        <v>2985</v>
      </c>
      <c r="Z122" s="98">
        <v>8260.6239862608509</v>
      </c>
      <c r="AA122" s="98">
        <v>23</v>
      </c>
      <c r="AB122" s="98">
        <v>157</v>
      </c>
      <c r="AC122" s="98">
        <v>31278.265432687713</v>
      </c>
      <c r="AD122" s="98">
        <v>98</v>
      </c>
    </row>
    <row r="123" spans="1:30" x14ac:dyDescent="0.2">
      <c r="A123" s="198" t="str">
        <f t="shared" si="2"/>
        <v>20231</v>
      </c>
      <c r="B123" s="199">
        <f t="shared" si="3"/>
        <v>2023</v>
      </c>
      <c r="C123" s="200">
        <v>44957</v>
      </c>
      <c r="D123" s="201">
        <v>24583662.5</v>
      </c>
      <c r="E123" s="202">
        <v>585.09999999999991</v>
      </c>
      <c r="F123" s="202">
        <v>0</v>
      </c>
      <c r="G123" s="201">
        <v>31</v>
      </c>
      <c r="H123" s="201">
        <v>0</v>
      </c>
      <c r="I123" s="201">
        <v>336</v>
      </c>
      <c r="J123" s="201">
        <v>0</v>
      </c>
      <c r="K123" s="203"/>
      <c r="L123" s="201">
        <v>12536.383589161656</v>
      </c>
      <c r="M123" s="201">
        <v>121</v>
      </c>
      <c r="N123" s="201"/>
      <c r="O123" s="204">
        <v>171.17989813436679</v>
      </c>
      <c r="P123" s="205">
        <v>8634958.334128432</v>
      </c>
      <c r="Q123" s="206">
        <v>11561</v>
      </c>
      <c r="R123" s="205">
        <v>3262458.77301784</v>
      </c>
      <c r="S123" s="206">
        <v>1161</v>
      </c>
      <c r="T123" s="205">
        <v>11648698.759660341</v>
      </c>
      <c r="U123" s="205">
        <v>25849.81</v>
      </c>
      <c r="V123" s="206">
        <v>125</v>
      </c>
      <c r="W123" s="205">
        <v>93597.662436790371</v>
      </c>
      <c r="X123" s="205">
        <v>202.84</v>
      </c>
      <c r="Y123" s="206">
        <v>2985</v>
      </c>
      <c r="Z123" s="205">
        <v>8260.6239862608545</v>
      </c>
      <c r="AA123" s="205">
        <v>23</v>
      </c>
      <c r="AB123" s="205">
        <v>157</v>
      </c>
      <c r="AC123" s="205">
        <v>31278.265432687698</v>
      </c>
      <c r="AD123" s="206">
        <v>98</v>
      </c>
    </row>
    <row r="124" spans="1:30" x14ac:dyDescent="0.2">
      <c r="A124" s="198" t="str">
        <f t="shared" si="2"/>
        <v>20232</v>
      </c>
      <c r="B124" s="199">
        <f t="shared" si="3"/>
        <v>2023</v>
      </c>
      <c r="C124" s="200">
        <v>44985</v>
      </c>
      <c r="D124" s="201">
        <v>22002707.612050563</v>
      </c>
      <c r="E124" s="202">
        <v>543.29999999999995</v>
      </c>
      <c r="F124" s="202">
        <v>0</v>
      </c>
      <c r="G124" s="201">
        <v>28</v>
      </c>
      <c r="H124" s="201">
        <v>0</v>
      </c>
      <c r="I124" s="201">
        <v>304</v>
      </c>
      <c r="J124" s="201">
        <v>0</v>
      </c>
      <c r="K124" s="203"/>
      <c r="L124" s="201">
        <v>0</v>
      </c>
      <c r="M124" s="201">
        <v>122</v>
      </c>
      <c r="N124" s="201"/>
      <c r="O124" s="204">
        <v>171.25106015914045</v>
      </c>
      <c r="P124" s="205">
        <v>7888077.1968323849</v>
      </c>
      <c r="Q124" s="206">
        <v>11570</v>
      </c>
      <c r="R124" s="205">
        <v>3032151.3405209454</v>
      </c>
      <c r="S124" s="206">
        <v>1159</v>
      </c>
      <c r="T124" s="205">
        <v>10385749.403682858</v>
      </c>
      <c r="U124" s="205">
        <v>26292.26</v>
      </c>
      <c r="V124" s="206">
        <v>126</v>
      </c>
      <c r="W124" s="205">
        <v>83613.300257609008</v>
      </c>
      <c r="X124" s="205">
        <v>199.54000000000002</v>
      </c>
      <c r="Y124" s="206">
        <v>2985</v>
      </c>
      <c r="Z124" s="205">
        <v>8260.6239862608527</v>
      </c>
      <c r="AA124" s="205">
        <v>23</v>
      </c>
      <c r="AB124" s="205">
        <v>157</v>
      </c>
      <c r="AC124" s="205">
        <v>30794.265814330676</v>
      </c>
      <c r="AD124" s="206">
        <v>98</v>
      </c>
    </row>
    <row r="125" spans="1:30" x14ac:dyDescent="0.2">
      <c r="A125" s="198" t="str">
        <f t="shared" si="2"/>
        <v>20233</v>
      </c>
      <c r="B125" s="199">
        <f t="shared" si="3"/>
        <v>2023</v>
      </c>
      <c r="C125" s="200">
        <v>45016</v>
      </c>
      <c r="D125" s="201">
        <v>23768845.469999999</v>
      </c>
      <c r="E125" s="202">
        <v>530.90000000000009</v>
      </c>
      <c r="F125" s="202">
        <v>0</v>
      </c>
      <c r="G125" s="201">
        <v>31</v>
      </c>
      <c r="H125" s="201">
        <v>1</v>
      </c>
      <c r="I125" s="201">
        <v>368</v>
      </c>
      <c r="J125" s="201">
        <v>0</v>
      </c>
      <c r="K125" s="203"/>
      <c r="L125" s="201">
        <v>0</v>
      </c>
      <c r="M125" s="201">
        <v>123</v>
      </c>
      <c r="N125" s="201"/>
      <c r="O125" s="204">
        <v>171.3222517670242</v>
      </c>
      <c r="P125" s="205">
        <v>8098653.8879877999</v>
      </c>
      <c r="Q125" s="206">
        <v>11579</v>
      </c>
      <c r="R125" s="205">
        <v>3238355.7484972822</v>
      </c>
      <c r="S125" s="206">
        <v>1160</v>
      </c>
      <c r="T125" s="205">
        <v>11419927.707279837</v>
      </c>
      <c r="U125" s="205">
        <v>25342.81</v>
      </c>
      <c r="V125" s="206">
        <v>126</v>
      </c>
      <c r="W125" s="205">
        <v>75376.271348153794</v>
      </c>
      <c r="X125" s="205">
        <v>199.54000000000002</v>
      </c>
      <c r="Y125" s="206">
        <v>2985</v>
      </c>
      <c r="Z125" s="205">
        <v>8260.6239862608545</v>
      </c>
      <c r="AA125" s="205">
        <v>23</v>
      </c>
      <c r="AB125" s="205">
        <v>157</v>
      </c>
      <c r="AC125" s="205">
        <v>30794.265814330676</v>
      </c>
      <c r="AD125" s="206">
        <v>98</v>
      </c>
    </row>
    <row r="126" spans="1:30" x14ac:dyDescent="0.2">
      <c r="A126" s="198" t="str">
        <f t="shared" si="2"/>
        <v>20234</v>
      </c>
      <c r="B126" s="199">
        <f t="shared" si="3"/>
        <v>2023</v>
      </c>
      <c r="C126" s="200">
        <v>45046</v>
      </c>
      <c r="D126" s="201">
        <v>21333713.989999998</v>
      </c>
      <c r="E126" s="202">
        <v>275.70000000000005</v>
      </c>
      <c r="F126" s="202">
        <v>7.1000000000000005</v>
      </c>
      <c r="G126" s="201">
        <v>30</v>
      </c>
      <c r="H126" s="201">
        <v>1</v>
      </c>
      <c r="I126" s="201">
        <v>304</v>
      </c>
      <c r="J126" s="201">
        <v>0</v>
      </c>
      <c r="K126" s="203"/>
      <c r="L126" s="201">
        <v>0</v>
      </c>
      <c r="M126" s="201">
        <v>124</v>
      </c>
      <c r="N126" s="201"/>
      <c r="O126" s="204">
        <v>171.39347297031614</v>
      </c>
      <c r="P126" s="205">
        <v>6919398.8073657155</v>
      </c>
      <c r="Q126" s="206">
        <v>11585</v>
      </c>
      <c r="R126" s="205">
        <v>2747740.3969086902</v>
      </c>
      <c r="S126" s="206">
        <v>1160</v>
      </c>
      <c r="T126" s="205">
        <v>10387968.857933406</v>
      </c>
      <c r="U126" s="205">
        <v>26865.120000000003</v>
      </c>
      <c r="V126" s="206">
        <v>126</v>
      </c>
      <c r="W126" s="205">
        <v>62525.694113157137</v>
      </c>
      <c r="X126" s="205">
        <v>199.54000000000002</v>
      </c>
      <c r="Y126" s="206">
        <v>2985</v>
      </c>
      <c r="Z126" s="205">
        <v>8260.6239862608545</v>
      </c>
      <c r="AA126" s="205">
        <v>23</v>
      </c>
      <c r="AB126" s="205">
        <v>157</v>
      </c>
      <c r="AC126" s="205">
        <v>30794.265814330691</v>
      </c>
      <c r="AD126" s="206">
        <v>98</v>
      </c>
    </row>
    <row r="127" spans="1:30" x14ac:dyDescent="0.2">
      <c r="A127" s="198" t="str">
        <f t="shared" si="2"/>
        <v>20235</v>
      </c>
      <c r="B127" s="199">
        <f t="shared" si="3"/>
        <v>2023</v>
      </c>
      <c r="C127" s="200">
        <v>45077</v>
      </c>
      <c r="D127" s="201">
        <v>21691788.009999998</v>
      </c>
      <c r="E127" s="202">
        <v>153.89999999999998</v>
      </c>
      <c r="F127" s="202">
        <v>15</v>
      </c>
      <c r="G127" s="201">
        <v>31</v>
      </c>
      <c r="H127" s="201">
        <v>1</v>
      </c>
      <c r="I127" s="201">
        <v>352</v>
      </c>
      <c r="J127" s="201">
        <v>0</v>
      </c>
      <c r="K127" s="203"/>
      <c r="L127" s="201">
        <v>0</v>
      </c>
      <c r="M127" s="201">
        <v>125</v>
      </c>
      <c r="N127" s="201"/>
      <c r="O127" s="204">
        <v>171.46472378131955</v>
      </c>
      <c r="P127" s="205">
        <v>6772082.3585535865</v>
      </c>
      <c r="Q127" s="206">
        <v>11595</v>
      </c>
      <c r="R127" s="205">
        <v>2743697.691060015</v>
      </c>
      <c r="S127" s="206">
        <v>1158</v>
      </c>
      <c r="T127" s="205">
        <v>11069800.209903631</v>
      </c>
      <c r="U127" s="205">
        <v>28356.339999999986</v>
      </c>
      <c r="V127" s="206">
        <v>126</v>
      </c>
      <c r="W127" s="205">
        <v>56408.27211143975</v>
      </c>
      <c r="X127" s="205">
        <v>199.54000000000002</v>
      </c>
      <c r="Y127" s="206">
        <v>2952</v>
      </c>
      <c r="Z127" s="205">
        <v>8260.6239862608527</v>
      </c>
      <c r="AA127" s="205">
        <v>23</v>
      </c>
      <c r="AB127" s="205">
        <v>157</v>
      </c>
      <c r="AC127" s="205">
        <v>30794.26581433068</v>
      </c>
      <c r="AD127" s="206">
        <v>98</v>
      </c>
    </row>
    <row r="128" spans="1:30" x14ac:dyDescent="0.2">
      <c r="A128" s="198" t="str">
        <f t="shared" si="2"/>
        <v>20236</v>
      </c>
      <c r="B128" s="199">
        <f t="shared" si="3"/>
        <v>2023</v>
      </c>
      <c r="C128" s="200">
        <v>45107</v>
      </c>
      <c r="D128" s="201">
        <v>22454588.449999999</v>
      </c>
      <c r="E128" s="202">
        <v>16.099999999999998</v>
      </c>
      <c r="F128" s="202">
        <v>59.100000000000009</v>
      </c>
      <c r="G128" s="201">
        <v>30</v>
      </c>
      <c r="H128" s="201">
        <v>0</v>
      </c>
      <c r="I128" s="201">
        <v>352</v>
      </c>
      <c r="J128" s="201">
        <v>0</v>
      </c>
      <c r="K128" s="203"/>
      <c r="L128" s="201">
        <v>0</v>
      </c>
      <c r="M128" s="201">
        <v>126</v>
      </c>
      <c r="N128" s="201"/>
      <c r="O128" s="204">
        <v>171.53600421234282</v>
      </c>
      <c r="P128" s="205">
        <v>7546037.5918328464</v>
      </c>
      <c r="Q128" s="206">
        <v>11595</v>
      </c>
      <c r="R128" s="205">
        <v>2776032.7735903063</v>
      </c>
      <c r="S128" s="206">
        <v>1158</v>
      </c>
      <c r="T128" s="205">
        <v>11073173.361320483</v>
      </c>
      <c r="U128" s="205">
        <v>28333.809999999998</v>
      </c>
      <c r="V128" s="206">
        <v>126</v>
      </c>
      <c r="W128" s="205">
        <v>48266.176891517985</v>
      </c>
      <c r="X128" s="205">
        <v>199.54000000000002</v>
      </c>
      <c r="Y128" s="206">
        <v>2952</v>
      </c>
      <c r="Z128" s="205">
        <v>8260.6239862608527</v>
      </c>
      <c r="AA128" s="205">
        <v>23</v>
      </c>
      <c r="AB128" s="205">
        <v>157</v>
      </c>
      <c r="AC128" s="205">
        <v>30794.265814330691</v>
      </c>
      <c r="AD128" s="206">
        <v>98</v>
      </c>
    </row>
    <row r="129" spans="1:30" x14ac:dyDescent="0.2">
      <c r="A129" s="198" t="str">
        <f t="shared" si="2"/>
        <v>20237</v>
      </c>
      <c r="B129" s="199">
        <f t="shared" si="3"/>
        <v>2023</v>
      </c>
      <c r="C129" s="200">
        <v>45138</v>
      </c>
      <c r="D129" s="201">
        <v>24590952.84</v>
      </c>
      <c r="E129" s="202">
        <v>0</v>
      </c>
      <c r="F129" s="202">
        <v>128.29999999999995</v>
      </c>
      <c r="G129" s="201">
        <v>31</v>
      </c>
      <c r="H129" s="201">
        <v>0</v>
      </c>
      <c r="I129" s="201">
        <v>320</v>
      </c>
      <c r="J129" s="201">
        <v>0</v>
      </c>
      <c r="K129" s="203"/>
      <c r="L129" s="201">
        <v>0</v>
      </c>
      <c r="M129" s="201">
        <v>127</v>
      </c>
      <c r="N129" s="201"/>
      <c r="O129" s="204">
        <v>171.60731427569939</v>
      </c>
      <c r="P129" s="205">
        <v>9010757.3036924247</v>
      </c>
      <c r="Q129" s="206">
        <v>11613</v>
      </c>
      <c r="R129" s="205">
        <v>2965102.1753649423</v>
      </c>
      <c r="S129" s="206">
        <v>1158</v>
      </c>
      <c r="T129" s="205">
        <v>11555628.880831981</v>
      </c>
      <c r="U129" s="205">
        <v>28190.459999999995</v>
      </c>
      <c r="V129" s="206">
        <v>126</v>
      </c>
      <c r="W129" s="205">
        <v>51071.376777025085</v>
      </c>
      <c r="X129" s="205">
        <v>199.54000000000002</v>
      </c>
      <c r="Y129" s="206">
        <v>2952</v>
      </c>
      <c r="Z129" s="205">
        <v>8260.6239862608527</v>
      </c>
      <c r="AA129" s="205">
        <v>23</v>
      </c>
      <c r="AB129" s="205">
        <v>157</v>
      </c>
      <c r="AC129" s="205">
        <v>30794.265814330691</v>
      </c>
      <c r="AD129" s="206">
        <v>98</v>
      </c>
    </row>
    <row r="130" spans="1:30" x14ac:dyDescent="0.2">
      <c r="A130" s="198" t="str">
        <f t="shared" si="2"/>
        <v>20238</v>
      </c>
      <c r="B130" s="199">
        <f t="shared" si="3"/>
        <v>2023</v>
      </c>
      <c r="C130" s="200">
        <v>45169</v>
      </c>
      <c r="D130" s="201">
        <v>23090322.559999999</v>
      </c>
      <c r="E130" s="202">
        <v>7</v>
      </c>
      <c r="F130" s="202">
        <v>70.799999999999983</v>
      </c>
      <c r="G130" s="201">
        <v>31</v>
      </c>
      <c r="H130" s="201">
        <v>0</v>
      </c>
      <c r="I130" s="201">
        <v>368</v>
      </c>
      <c r="J130" s="201">
        <v>0</v>
      </c>
      <c r="K130" s="203"/>
      <c r="L130" s="201">
        <v>0</v>
      </c>
      <c r="M130" s="201">
        <v>128</v>
      </c>
      <c r="N130" s="201"/>
      <c r="O130" s="204">
        <v>171.67865398370787</v>
      </c>
      <c r="P130" s="205">
        <v>7770745.4059727322</v>
      </c>
      <c r="Q130" s="206">
        <v>11622</v>
      </c>
      <c r="R130" s="205">
        <v>2805946.3982444433</v>
      </c>
      <c r="S130" s="206">
        <v>1158</v>
      </c>
      <c r="T130" s="205">
        <v>11554293.617021274</v>
      </c>
      <c r="U130" s="205">
        <v>27896.279999999992</v>
      </c>
      <c r="V130" s="206">
        <v>126</v>
      </c>
      <c r="W130" s="205">
        <v>61303.854594027289</v>
      </c>
      <c r="X130" s="205">
        <v>199.54000000000002</v>
      </c>
      <c r="Y130" s="206">
        <v>2952</v>
      </c>
      <c r="Z130" s="205">
        <v>8260.6239862608545</v>
      </c>
      <c r="AA130" s="205">
        <v>23</v>
      </c>
      <c r="AB130" s="205">
        <v>157</v>
      </c>
      <c r="AC130" s="205">
        <v>30794.26581433068</v>
      </c>
      <c r="AD130" s="206">
        <v>98</v>
      </c>
    </row>
    <row r="131" spans="1:30" x14ac:dyDescent="0.2">
      <c r="A131" s="198" t="str">
        <f t="shared" si="2"/>
        <v>20239</v>
      </c>
      <c r="B131" s="199">
        <f t="shared" si="3"/>
        <v>2023</v>
      </c>
      <c r="C131" s="200">
        <v>45199</v>
      </c>
      <c r="D131" s="201">
        <v>21567772.719999999</v>
      </c>
      <c r="E131" s="202">
        <v>26</v>
      </c>
      <c r="F131" s="202">
        <v>47</v>
      </c>
      <c r="G131" s="201">
        <v>30</v>
      </c>
      <c r="H131" s="201">
        <v>1</v>
      </c>
      <c r="I131" s="201">
        <v>320</v>
      </c>
      <c r="J131" s="201">
        <v>0</v>
      </c>
      <c r="K131" s="203"/>
      <c r="L131" s="201">
        <v>0</v>
      </c>
      <c r="M131" s="201">
        <v>129</v>
      </c>
      <c r="N131" s="201"/>
      <c r="O131" s="204">
        <v>171.750023348692</v>
      </c>
      <c r="P131" s="205">
        <v>7105585.2972044852</v>
      </c>
      <c r="Q131" s="206">
        <v>11639</v>
      </c>
      <c r="R131" s="205">
        <v>2614642.5913557825</v>
      </c>
      <c r="S131" s="206">
        <v>1175</v>
      </c>
      <c r="T131" s="205">
        <v>10884033.346054764</v>
      </c>
      <c r="U131" s="205">
        <v>28884.979999999992</v>
      </c>
      <c r="V131" s="206">
        <v>126</v>
      </c>
      <c r="W131" s="205">
        <v>67762.932926247493</v>
      </c>
      <c r="X131" s="205">
        <v>199.54000000000002</v>
      </c>
      <c r="Y131" s="206">
        <v>2952</v>
      </c>
      <c r="Z131" s="205">
        <v>8260.6239862608527</v>
      </c>
      <c r="AA131" s="205">
        <v>23</v>
      </c>
      <c r="AB131" s="205">
        <v>157</v>
      </c>
      <c r="AC131" s="205">
        <v>30794.265814330687</v>
      </c>
      <c r="AD131" s="206">
        <v>95</v>
      </c>
    </row>
    <row r="132" spans="1:30" x14ac:dyDescent="0.2">
      <c r="A132" s="3" t="str">
        <f t="shared" ref="A132:A146" si="4">YEAR(C132)&amp;MONTH(C132)</f>
        <v>202310</v>
      </c>
      <c r="B132" s="49">
        <f t="shared" ref="B132:B146" si="5">YEAR(C132)</f>
        <v>2023</v>
      </c>
      <c r="C132" s="52">
        <v>45230</v>
      </c>
      <c r="D132" s="53"/>
      <c r="E132" s="202">
        <f>+(E12+E24+E36+E48+E60+E72+E84+E96+E108+E120)/10</f>
        <v>222.22000000000003</v>
      </c>
      <c r="F132" s="202">
        <f>+(F12+F24+F36+F48+F60+F72+F84+F96+F108+F120)/10</f>
        <v>3.3</v>
      </c>
      <c r="G132" s="53">
        <v>31</v>
      </c>
      <c r="H132" s="53">
        <v>1</v>
      </c>
      <c r="I132" s="53">
        <v>336</v>
      </c>
      <c r="J132" s="53">
        <v>0</v>
      </c>
      <c r="K132" s="55"/>
      <c r="L132" s="53">
        <v>0</v>
      </c>
      <c r="M132" s="201">
        <v>129</v>
      </c>
      <c r="N132" s="53"/>
      <c r="O132" s="56">
        <v>171.82142238298061</v>
      </c>
      <c r="P132" s="209"/>
      <c r="Q132" s="206">
        <v>11657</v>
      </c>
      <c r="R132" s="209"/>
      <c r="S132" s="206">
        <v>1174</v>
      </c>
      <c r="T132" s="209"/>
      <c r="U132" s="209">
        <v>0</v>
      </c>
      <c r="V132" s="206">
        <v>126</v>
      </c>
      <c r="W132" s="209"/>
      <c r="X132" s="209">
        <v>0</v>
      </c>
      <c r="Y132" s="206">
        <v>2952</v>
      </c>
      <c r="Z132" s="209"/>
      <c r="AA132" s="209">
        <v>0</v>
      </c>
      <c r="AB132" s="205">
        <v>157</v>
      </c>
      <c r="AC132" s="209"/>
      <c r="AD132" s="206">
        <v>95</v>
      </c>
    </row>
    <row r="133" spans="1:30" x14ac:dyDescent="0.2">
      <c r="A133" s="3" t="str">
        <f t="shared" si="4"/>
        <v>202311</v>
      </c>
      <c r="B133" s="49">
        <f t="shared" si="5"/>
        <v>2023</v>
      </c>
      <c r="C133" s="52">
        <v>45260</v>
      </c>
      <c r="D133" s="53"/>
      <c r="E133" s="202">
        <f t="shared" ref="E133:F133" si="6">+(E13+E25+E37+E49+E61+E73+E85+E97+E109+E121)/10</f>
        <v>420.84500000000008</v>
      </c>
      <c r="F133" s="202">
        <f t="shared" si="6"/>
        <v>0.09</v>
      </c>
      <c r="G133" s="53">
        <v>30</v>
      </c>
      <c r="H133" s="53">
        <v>1</v>
      </c>
      <c r="I133" s="53">
        <v>352</v>
      </c>
      <c r="J133" s="53">
        <v>0</v>
      </c>
      <c r="K133" s="55"/>
      <c r="L133" s="53">
        <v>0</v>
      </c>
      <c r="M133" s="201">
        <v>129</v>
      </c>
      <c r="N133" s="53"/>
      <c r="O133" s="56">
        <v>171.89285109890767</v>
      </c>
      <c r="P133" s="98">
        <v>0</v>
      </c>
      <c r="Q133" s="206">
        <v>11668</v>
      </c>
      <c r="R133" s="98">
        <v>0</v>
      </c>
      <c r="S133" s="206">
        <v>1175</v>
      </c>
      <c r="T133" s="98">
        <v>0</v>
      </c>
      <c r="U133" s="98">
        <v>0</v>
      </c>
      <c r="V133" s="206">
        <v>126</v>
      </c>
      <c r="W133" s="98">
        <v>0</v>
      </c>
      <c r="X133" s="98">
        <v>0</v>
      </c>
      <c r="Y133" s="206">
        <v>2952</v>
      </c>
      <c r="Z133" s="98">
        <v>0</v>
      </c>
      <c r="AA133" s="98">
        <v>0</v>
      </c>
      <c r="AB133" s="205">
        <v>157</v>
      </c>
      <c r="AC133" s="98">
        <v>0</v>
      </c>
      <c r="AD133" s="206">
        <v>95</v>
      </c>
    </row>
    <row r="134" spans="1:30" x14ac:dyDescent="0.2">
      <c r="A134" s="3" t="str">
        <f t="shared" si="4"/>
        <v>202312</v>
      </c>
      <c r="B134" s="49">
        <f t="shared" si="5"/>
        <v>2023</v>
      </c>
      <c r="C134" s="52">
        <v>45291</v>
      </c>
      <c r="D134" s="53"/>
      <c r="E134" s="202">
        <f t="shared" ref="E134:F134" si="7">+(E14+E26+E38+E50+E62+E74+E86+E98+E110+E122)/10</f>
        <v>579.06000000000006</v>
      </c>
      <c r="F134" s="202">
        <f t="shared" si="7"/>
        <v>0</v>
      </c>
      <c r="G134" s="53">
        <v>31</v>
      </c>
      <c r="H134" s="53">
        <v>0</v>
      </c>
      <c r="I134" s="53">
        <v>304</v>
      </c>
      <c r="J134" s="53">
        <v>0</v>
      </c>
      <c r="K134" s="55"/>
      <c r="L134" s="53">
        <v>0</v>
      </c>
      <c r="M134" s="201">
        <v>129</v>
      </c>
      <c r="N134" s="53"/>
      <c r="O134" s="56">
        <v>171.96430950881222</v>
      </c>
      <c r="P134" s="98">
        <v>0</v>
      </c>
      <c r="Q134" s="206">
        <v>11668</v>
      </c>
      <c r="R134" s="98">
        <v>0</v>
      </c>
      <c r="S134" s="206">
        <v>1175</v>
      </c>
      <c r="T134" s="98">
        <v>0</v>
      </c>
      <c r="U134" s="98">
        <v>0</v>
      </c>
      <c r="V134" s="206">
        <v>127</v>
      </c>
      <c r="W134" s="98">
        <v>0</v>
      </c>
      <c r="X134" s="98">
        <v>0</v>
      </c>
      <c r="Y134" s="206">
        <v>2952</v>
      </c>
      <c r="Z134" s="98">
        <v>0</v>
      </c>
      <c r="AA134" s="98">
        <v>0</v>
      </c>
      <c r="AB134" s="205">
        <v>157</v>
      </c>
      <c r="AC134" s="98">
        <v>0</v>
      </c>
      <c r="AD134" s="206">
        <v>95</v>
      </c>
    </row>
    <row r="135" spans="1:30" x14ac:dyDescent="0.2">
      <c r="A135" s="3" t="str">
        <f t="shared" si="4"/>
        <v>20241</v>
      </c>
      <c r="B135" s="49">
        <f t="shared" si="5"/>
        <v>2024</v>
      </c>
      <c r="C135" s="52">
        <v>45322</v>
      </c>
      <c r="D135" s="53"/>
      <c r="E135" s="202">
        <f t="shared" ref="E135:F135" si="8">+(E15+E27+E39+E51+E63+E75+E87+E99+E111+E123)/10</f>
        <v>703.65</v>
      </c>
      <c r="F135" s="202">
        <f t="shared" si="8"/>
        <v>0</v>
      </c>
      <c r="G135" s="53">
        <v>31</v>
      </c>
      <c r="H135" s="53">
        <v>0</v>
      </c>
      <c r="I135" s="53">
        <v>352</v>
      </c>
      <c r="J135" s="53">
        <v>0</v>
      </c>
      <c r="K135" s="55"/>
      <c r="L135" s="53">
        <v>0</v>
      </c>
      <c r="M135" s="201">
        <v>129</v>
      </c>
      <c r="N135" s="53"/>
      <c r="O135" s="56">
        <v>172.19193081591357</v>
      </c>
      <c r="P135" s="98">
        <v>0</v>
      </c>
      <c r="Q135">
        <v>0</v>
      </c>
      <c r="R135" s="98">
        <v>0</v>
      </c>
      <c r="S135">
        <v>0</v>
      </c>
      <c r="T135" s="98">
        <v>0</v>
      </c>
      <c r="U135" s="98">
        <v>0</v>
      </c>
      <c r="V135">
        <v>0</v>
      </c>
      <c r="W135" s="98">
        <v>0</v>
      </c>
      <c r="X135" s="98">
        <v>0</v>
      </c>
      <c r="Y135">
        <v>0</v>
      </c>
      <c r="Z135" s="98">
        <v>0</v>
      </c>
      <c r="AA135" s="98">
        <v>0</v>
      </c>
      <c r="AB135" s="98">
        <v>0</v>
      </c>
      <c r="AC135" s="98">
        <v>0</v>
      </c>
    </row>
    <row r="136" spans="1:30" x14ac:dyDescent="0.2">
      <c r="A136" s="3" t="str">
        <f t="shared" si="4"/>
        <v>20242</v>
      </c>
      <c r="B136" s="49">
        <f t="shared" si="5"/>
        <v>2024</v>
      </c>
      <c r="C136" s="52">
        <v>45351</v>
      </c>
      <c r="D136" s="53"/>
      <c r="E136" s="202">
        <f t="shared" ref="E136:F136" si="9">+(E16+E28+E40+E52+E64+E76+E88+E100+E112+E124)/10</f>
        <v>630.40499999999997</v>
      </c>
      <c r="F136" s="202">
        <f t="shared" si="9"/>
        <v>0</v>
      </c>
      <c r="G136" s="53">
        <v>29</v>
      </c>
      <c r="H136" s="53">
        <v>0</v>
      </c>
      <c r="I136" s="53">
        <v>320</v>
      </c>
      <c r="J136" s="53">
        <v>0</v>
      </c>
      <c r="K136" s="55"/>
      <c r="L136" s="53">
        <v>0</v>
      </c>
      <c r="M136" s="201">
        <v>129</v>
      </c>
      <c r="N136" s="53"/>
      <c r="O136" s="56">
        <v>172.41985341494924</v>
      </c>
      <c r="P136" s="98">
        <v>0</v>
      </c>
      <c r="Q136">
        <v>0</v>
      </c>
      <c r="R136" s="98">
        <v>0</v>
      </c>
      <c r="S136">
        <v>0</v>
      </c>
      <c r="T136" s="98">
        <v>0</v>
      </c>
      <c r="U136" s="98">
        <v>0</v>
      </c>
      <c r="V136">
        <v>0</v>
      </c>
      <c r="W136" s="98">
        <v>0</v>
      </c>
      <c r="X136" s="98">
        <v>0</v>
      </c>
      <c r="Y136">
        <v>0</v>
      </c>
      <c r="Z136" s="98">
        <v>0</v>
      </c>
      <c r="AA136" s="98">
        <v>0</v>
      </c>
      <c r="AB136" s="98">
        <v>0</v>
      </c>
      <c r="AC136" s="98">
        <v>0</v>
      </c>
    </row>
    <row r="137" spans="1:30" x14ac:dyDescent="0.2">
      <c r="A137" s="3" t="str">
        <f t="shared" si="4"/>
        <v>20243</v>
      </c>
      <c r="B137" s="49">
        <f t="shared" si="5"/>
        <v>2024</v>
      </c>
      <c r="C137" s="52">
        <v>45382</v>
      </c>
      <c r="D137" s="53"/>
      <c r="E137" s="202">
        <f t="shared" ref="E137:F137" si="10">+(E17+E29+E41+E53+E65+E77+E89+E101+E113+E125)/10</f>
        <v>547.82999999999993</v>
      </c>
      <c r="F137" s="202">
        <f t="shared" si="10"/>
        <v>0</v>
      </c>
      <c r="G137" s="53">
        <v>31</v>
      </c>
      <c r="H137" s="53">
        <v>1</v>
      </c>
      <c r="I137" s="53">
        <v>320</v>
      </c>
      <c r="J137" s="53">
        <v>0</v>
      </c>
      <c r="K137" s="55"/>
      <c r="L137" s="53">
        <v>0</v>
      </c>
      <c r="M137" s="201">
        <v>129</v>
      </c>
      <c r="N137" s="53"/>
      <c r="O137" s="56">
        <v>172.64807770472564</v>
      </c>
      <c r="P137" s="98">
        <v>0</v>
      </c>
      <c r="Q137">
        <v>0</v>
      </c>
      <c r="R137" s="98">
        <v>0</v>
      </c>
      <c r="S137">
        <v>0</v>
      </c>
      <c r="T137" s="98">
        <v>0</v>
      </c>
      <c r="U137" s="98">
        <v>0</v>
      </c>
      <c r="V137">
        <v>0</v>
      </c>
      <c r="W137" s="98">
        <v>0</v>
      </c>
      <c r="X137" s="98">
        <v>0</v>
      </c>
      <c r="Y137">
        <v>0</v>
      </c>
      <c r="Z137" s="98">
        <v>0</v>
      </c>
      <c r="AA137" s="98">
        <v>0</v>
      </c>
      <c r="AB137" s="98">
        <v>0</v>
      </c>
      <c r="AC137" s="98">
        <v>0</v>
      </c>
    </row>
    <row r="138" spans="1:30" x14ac:dyDescent="0.2">
      <c r="A138" s="3" t="str">
        <f t="shared" si="4"/>
        <v>20244</v>
      </c>
      <c r="B138" s="49">
        <f t="shared" si="5"/>
        <v>2024</v>
      </c>
      <c r="C138" s="52">
        <v>45412</v>
      </c>
      <c r="D138" s="53"/>
      <c r="E138" s="202">
        <f t="shared" ref="E138:F138" si="11">+(E18+E30+E42+E54+E66+E78+E90+E102+E114+E126)/10</f>
        <v>338.72500000000002</v>
      </c>
      <c r="F138" s="202">
        <f t="shared" si="11"/>
        <v>0.71000000000000008</v>
      </c>
      <c r="G138" s="53">
        <v>30</v>
      </c>
      <c r="H138" s="53">
        <v>1</v>
      </c>
      <c r="I138" s="53">
        <v>352</v>
      </c>
      <c r="J138" s="53">
        <v>0</v>
      </c>
      <c r="K138" s="55"/>
      <c r="L138" s="53">
        <v>0</v>
      </c>
      <c r="M138" s="201">
        <v>129</v>
      </c>
      <c r="N138" s="53"/>
      <c r="O138" s="56">
        <v>172.876604084577</v>
      </c>
      <c r="P138" s="98">
        <v>0</v>
      </c>
      <c r="Q138">
        <v>0</v>
      </c>
      <c r="R138" s="98">
        <v>0</v>
      </c>
      <c r="S138">
        <v>0</v>
      </c>
      <c r="T138" s="98">
        <v>0</v>
      </c>
      <c r="U138" s="98">
        <v>0</v>
      </c>
      <c r="V138">
        <v>0</v>
      </c>
      <c r="W138" s="98">
        <v>0</v>
      </c>
      <c r="X138" s="98">
        <v>0</v>
      </c>
      <c r="Y138">
        <v>0</v>
      </c>
      <c r="Z138" s="98">
        <v>0</v>
      </c>
      <c r="AA138" s="98">
        <v>0</v>
      </c>
      <c r="AB138" s="98">
        <v>0</v>
      </c>
      <c r="AC138" s="98">
        <v>0</v>
      </c>
    </row>
    <row r="139" spans="1:30" x14ac:dyDescent="0.2">
      <c r="A139" s="3" t="str">
        <f t="shared" si="4"/>
        <v>20245</v>
      </c>
      <c r="B139" s="49">
        <f t="shared" si="5"/>
        <v>2024</v>
      </c>
      <c r="C139" s="52">
        <v>45443</v>
      </c>
      <c r="D139" s="53"/>
      <c r="E139" s="202">
        <f t="shared" ref="E139:F139" si="12">+(E19+E31+E43+E55+E67+E79+E91+E103+E115+E127)/10</f>
        <v>144.06</v>
      </c>
      <c r="F139" s="202">
        <f t="shared" si="12"/>
        <v>23.914999999999999</v>
      </c>
      <c r="G139" s="53">
        <v>31</v>
      </c>
      <c r="H139" s="53">
        <v>1</v>
      </c>
      <c r="I139" s="53">
        <v>352</v>
      </c>
      <c r="J139" s="53">
        <v>0</v>
      </c>
      <c r="K139" s="55"/>
      <c r="L139" s="53">
        <v>0</v>
      </c>
      <c r="M139" s="201">
        <v>129</v>
      </c>
      <c r="N139" s="53"/>
      <c r="O139" s="56">
        <v>173.10543295436617</v>
      </c>
      <c r="P139" s="98">
        <v>0</v>
      </c>
      <c r="Q139">
        <v>0</v>
      </c>
      <c r="R139" s="98">
        <v>0</v>
      </c>
      <c r="S139">
        <v>0</v>
      </c>
      <c r="T139" s="98">
        <v>0</v>
      </c>
      <c r="U139" s="98">
        <v>0</v>
      </c>
      <c r="V139">
        <v>0</v>
      </c>
      <c r="W139" s="98">
        <v>0</v>
      </c>
      <c r="X139" s="98">
        <v>0</v>
      </c>
      <c r="Y139">
        <v>0</v>
      </c>
      <c r="Z139" s="98">
        <v>0</v>
      </c>
      <c r="AA139" s="98">
        <v>0</v>
      </c>
      <c r="AB139" s="98">
        <v>0</v>
      </c>
      <c r="AC139" s="98">
        <v>0</v>
      </c>
    </row>
    <row r="140" spans="1:30" x14ac:dyDescent="0.2">
      <c r="A140" s="3" t="str">
        <f t="shared" si="4"/>
        <v>20246</v>
      </c>
      <c r="B140" s="49">
        <f t="shared" si="5"/>
        <v>2024</v>
      </c>
      <c r="C140" s="52">
        <v>45473</v>
      </c>
      <c r="D140" s="53"/>
      <c r="E140" s="202">
        <f t="shared" ref="E140:F140" si="13">+(E20+E32+E44+E56+E68+E80+E92+E104+E116+E128)/10</f>
        <v>21.37</v>
      </c>
      <c r="F140" s="202">
        <f t="shared" si="13"/>
        <v>69.710000000000008</v>
      </c>
      <c r="G140" s="53">
        <v>30</v>
      </c>
      <c r="H140" s="53">
        <v>0</v>
      </c>
      <c r="I140" s="53">
        <v>320</v>
      </c>
      <c r="J140" s="53">
        <v>0</v>
      </c>
      <c r="K140" s="55"/>
      <c r="L140" s="53">
        <v>0</v>
      </c>
      <c r="M140" s="201">
        <v>129</v>
      </c>
      <c r="N140" s="53"/>
      <c r="O140" s="56">
        <v>173.33456471448525</v>
      </c>
      <c r="P140" s="98">
        <v>0</v>
      </c>
      <c r="Q140">
        <v>0</v>
      </c>
      <c r="R140" s="98">
        <v>0</v>
      </c>
      <c r="S140">
        <v>0</v>
      </c>
      <c r="T140" s="98">
        <v>0</v>
      </c>
      <c r="U140" s="98">
        <v>0</v>
      </c>
      <c r="V140">
        <v>0</v>
      </c>
      <c r="W140" s="98">
        <v>0</v>
      </c>
      <c r="X140" s="98">
        <v>0</v>
      </c>
      <c r="Y140">
        <v>0</v>
      </c>
      <c r="Z140" s="98">
        <v>0</v>
      </c>
      <c r="AA140" s="98">
        <v>0</v>
      </c>
      <c r="AB140" s="98">
        <v>0</v>
      </c>
      <c r="AC140" s="98">
        <v>0</v>
      </c>
    </row>
    <row r="141" spans="1:30" x14ac:dyDescent="0.2">
      <c r="A141" s="3" t="str">
        <f t="shared" si="4"/>
        <v>20247</v>
      </c>
      <c r="B141" s="49">
        <f t="shared" si="5"/>
        <v>2024</v>
      </c>
      <c r="C141" s="52">
        <v>45504</v>
      </c>
      <c r="D141" s="53"/>
      <c r="E141" s="202">
        <f t="shared" ref="E141:F141" si="14">+(E21+E33+E45+E57+E69+E81+E93+E105+E117+E129)/10</f>
        <v>1.24</v>
      </c>
      <c r="F141" s="202">
        <f t="shared" si="14"/>
        <v>140.78500000000003</v>
      </c>
      <c r="G141" s="53">
        <v>31</v>
      </c>
      <c r="H141" s="53">
        <v>0</v>
      </c>
      <c r="I141" s="53">
        <v>352</v>
      </c>
      <c r="J141" s="53">
        <v>0</v>
      </c>
      <c r="K141" s="55"/>
      <c r="L141" s="53">
        <v>0</v>
      </c>
      <c r="M141" s="201">
        <v>129</v>
      </c>
      <c r="N141" s="53"/>
      <c r="O141" s="56">
        <v>173.56399976585638</v>
      </c>
      <c r="P141" s="98">
        <v>0</v>
      </c>
      <c r="Q141">
        <v>0</v>
      </c>
      <c r="R141" s="98">
        <v>0</v>
      </c>
      <c r="S141">
        <v>0</v>
      </c>
      <c r="T141" s="98">
        <v>0</v>
      </c>
      <c r="U141" s="98">
        <v>0</v>
      </c>
      <c r="V141">
        <v>0</v>
      </c>
      <c r="W141" s="98">
        <v>0</v>
      </c>
      <c r="X141" s="98">
        <v>0</v>
      </c>
      <c r="Y141">
        <v>0</v>
      </c>
      <c r="Z141" s="98">
        <v>0</v>
      </c>
      <c r="AA141" s="98">
        <v>0</v>
      </c>
      <c r="AB141" s="98">
        <v>0</v>
      </c>
      <c r="AC141" s="98">
        <v>0</v>
      </c>
    </row>
    <row r="142" spans="1:30" x14ac:dyDescent="0.2">
      <c r="A142" s="3" t="str">
        <f t="shared" si="4"/>
        <v>20248</v>
      </c>
      <c r="B142" s="49">
        <f t="shared" si="5"/>
        <v>2024</v>
      </c>
      <c r="C142" s="52">
        <v>45535</v>
      </c>
      <c r="D142" s="53"/>
      <c r="E142" s="202">
        <f t="shared" ref="E142:F142" si="15">+(E22+E34+E46+E58+E70+E82+E94+E106+E118+E130)/10</f>
        <v>3.5549999999999997</v>
      </c>
      <c r="F142" s="202">
        <f t="shared" si="15"/>
        <v>122.37</v>
      </c>
      <c r="G142" s="53">
        <v>31</v>
      </c>
      <c r="H142" s="53">
        <v>0</v>
      </c>
      <c r="I142" s="53">
        <v>352</v>
      </c>
      <c r="J142" s="53">
        <v>0</v>
      </c>
      <c r="K142" s="55"/>
      <c r="L142" s="53">
        <v>0</v>
      </c>
      <c r="M142" s="201">
        <v>129</v>
      </c>
      <c r="N142" s="53"/>
      <c r="O142" s="56">
        <v>173.79373850993233</v>
      </c>
      <c r="P142" s="98">
        <v>0</v>
      </c>
      <c r="Q142">
        <v>0</v>
      </c>
      <c r="R142" s="98">
        <v>0</v>
      </c>
      <c r="S142">
        <v>0</v>
      </c>
      <c r="T142" s="98">
        <v>0</v>
      </c>
      <c r="U142" s="98">
        <v>0</v>
      </c>
      <c r="V142">
        <v>0</v>
      </c>
      <c r="W142" s="98">
        <v>0</v>
      </c>
      <c r="X142" s="98">
        <v>0</v>
      </c>
      <c r="Y142">
        <v>0</v>
      </c>
      <c r="Z142" s="98">
        <v>0</v>
      </c>
      <c r="AA142" s="98">
        <v>0</v>
      </c>
      <c r="AB142" s="98">
        <v>0</v>
      </c>
      <c r="AC142" s="98">
        <v>0</v>
      </c>
    </row>
    <row r="143" spans="1:30" x14ac:dyDescent="0.2">
      <c r="A143" s="3" t="str">
        <f t="shared" si="4"/>
        <v>20249</v>
      </c>
      <c r="B143" s="49">
        <f t="shared" si="5"/>
        <v>2024</v>
      </c>
      <c r="C143" s="52">
        <v>45565</v>
      </c>
      <c r="D143" s="53"/>
      <c r="E143" s="202">
        <f t="shared" ref="E143:F143" si="16">+(E23+E35+E47+E59+E71+E83+E95+E107+E119+E131)/10</f>
        <v>44.225000000000009</v>
      </c>
      <c r="F143" s="202">
        <f t="shared" si="16"/>
        <v>50.904999999999987</v>
      </c>
      <c r="G143" s="53">
        <v>30</v>
      </c>
      <c r="H143" s="53">
        <v>1</v>
      </c>
      <c r="I143" s="53">
        <v>320</v>
      </c>
      <c r="J143" s="53">
        <v>0</v>
      </c>
      <c r="K143" s="55"/>
      <c r="L143" s="53">
        <v>0</v>
      </c>
      <c r="M143" s="201">
        <v>129</v>
      </c>
      <c r="N143" s="53"/>
      <c r="O143" s="56">
        <v>174.02378134869727</v>
      </c>
      <c r="P143" s="98">
        <v>0</v>
      </c>
      <c r="Q143">
        <v>0</v>
      </c>
      <c r="R143" s="98">
        <v>0</v>
      </c>
      <c r="S143">
        <v>0</v>
      </c>
      <c r="T143" s="98">
        <v>0</v>
      </c>
      <c r="U143" s="98">
        <v>0</v>
      </c>
      <c r="V143">
        <v>0</v>
      </c>
      <c r="W143" s="98">
        <v>0</v>
      </c>
      <c r="X143" s="98">
        <v>0</v>
      </c>
      <c r="Y143">
        <v>0</v>
      </c>
      <c r="Z143" s="98">
        <v>0</v>
      </c>
      <c r="AA143" s="98">
        <v>0</v>
      </c>
      <c r="AB143" s="98">
        <v>0</v>
      </c>
      <c r="AC143" s="98">
        <v>0</v>
      </c>
    </row>
    <row r="144" spans="1:30" x14ac:dyDescent="0.2">
      <c r="A144" s="3" t="str">
        <f t="shared" si="4"/>
        <v>202410</v>
      </c>
      <c r="B144" s="49">
        <f t="shared" si="5"/>
        <v>2024</v>
      </c>
      <c r="C144" s="52">
        <v>45596</v>
      </c>
      <c r="D144" s="53"/>
      <c r="E144" s="202">
        <f>+E132</f>
        <v>222.22000000000003</v>
      </c>
      <c r="F144" s="202">
        <f>+F132</f>
        <v>3.3</v>
      </c>
      <c r="G144" s="53">
        <v>31</v>
      </c>
      <c r="H144" s="53">
        <v>1</v>
      </c>
      <c r="I144" s="53">
        <v>352</v>
      </c>
      <c r="J144" s="53">
        <v>0</v>
      </c>
      <c r="K144" s="55"/>
      <c r="L144" s="53">
        <v>0</v>
      </c>
      <c r="M144" s="201">
        <v>129</v>
      </c>
      <c r="N144" s="53"/>
      <c r="O144" s="56">
        <v>174.25412868466748</v>
      </c>
      <c r="P144" s="98">
        <v>0</v>
      </c>
      <c r="Q144">
        <v>0</v>
      </c>
      <c r="R144" s="98">
        <v>0</v>
      </c>
      <c r="S144">
        <v>0</v>
      </c>
      <c r="T144" s="98">
        <v>0</v>
      </c>
      <c r="U144" s="98">
        <v>0</v>
      </c>
      <c r="V144">
        <v>0</v>
      </c>
      <c r="W144" s="98">
        <v>0</v>
      </c>
      <c r="X144" s="98">
        <v>0</v>
      </c>
      <c r="Y144">
        <v>0</v>
      </c>
      <c r="Z144" s="98">
        <v>0</v>
      </c>
      <c r="AA144" s="98">
        <v>0</v>
      </c>
      <c r="AB144" s="98">
        <v>0</v>
      </c>
      <c r="AC144" s="98">
        <v>0</v>
      </c>
    </row>
    <row r="145" spans="1:29" x14ac:dyDescent="0.2">
      <c r="A145" s="3" t="str">
        <f t="shared" si="4"/>
        <v>202411</v>
      </c>
      <c r="B145" s="49">
        <f t="shared" si="5"/>
        <v>2024</v>
      </c>
      <c r="C145" s="52">
        <v>45626</v>
      </c>
      <c r="D145" s="53"/>
      <c r="E145" s="202">
        <f t="shared" ref="E145:F145" si="17">+E133</f>
        <v>420.84500000000008</v>
      </c>
      <c r="F145" s="202">
        <f t="shared" si="17"/>
        <v>0.09</v>
      </c>
      <c r="G145" s="53">
        <v>30</v>
      </c>
      <c r="H145" s="53">
        <v>1</v>
      </c>
      <c r="I145" s="53">
        <v>336</v>
      </c>
      <c r="J145" s="53">
        <v>0</v>
      </c>
      <c r="K145" s="55"/>
      <c r="L145" s="53">
        <v>0</v>
      </c>
      <c r="M145" s="201">
        <v>129</v>
      </c>
      <c r="N145" s="53"/>
      <c r="O145" s="56">
        <v>174.48478092089198</v>
      </c>
      <c r="P145" s="98">
        <v>0</v>
      </c>
      <c r="Q145">
        <v>0</v>
      </c>
      <c r="R145" s="98">
        <v>0</v>
      </c>
      <c r="S145">
        <v>0</v>
      </c>
      <c r="T145" s="98">
        <v>0</v>
      </c>
      <c r="U145" s="98">
        <v>0</v>
      </c>
      <c r="V145">
        <v>0</v>
      </c>
      <c r="W145" s="98">
        <v>0</v>
      </c>
      <c r="X145" s="98">
        <v>0</v>
      </c>
      <c r="Y145">
        <v>0</v>
      </c>
      <c r="Z145" s="98">
        <v>0</v>
      </c>
      <c r="AA145" s="98"/>
      <c r="AB145" s="98">
        <v>0</v>
      </c>
      <c r="AC145" s="98">
        <v>0</v>
      </c>
    </row>
    <row r="146" spans="1:29" x14ac:dyDescent="0.2">
      <c r="A146" s="3" t="str">
        <f t="shared" si="4"/>
        <v>202412</v>
      </c>
      <c r="B146" s="49">
        <f t="shared" si="5"/>
        <v>2024</v>
      </c>
      <c r="C146" s="52">
        <v>45657</v>
      </c>
      <c r="D146" s="53"/>
      <c r="E146" s="202">
        <f t="shared" ref="E146:F146" si="18">+E134</f>
        <v>579.06000000000006</v>
      </c>
      <c r="F146" s="202">
        <f t="shared" si="18"/>
        <v>0</v>
      </c>
      <c r="G146" s="53">
        <v>31</v>
      </c>
      <c r="H146" s="53">
        <v>0</v>
      </c>
      <c r="I146" s="53">
        <v>320</v>
      </c>
      <c r="J146" s="53">
        <v>0</v>
      </c>
      <c r="K146" s="55"/>
      <c r="L146" s="53">
        <v>0</v>
      </c>
      <c r="M146" s="201">
        <v>129</v>
      </c>
      <c r="N146" s="53"/>
      <c r="O146" s="56">
        <v>174.71573846095322</v>
      </c>
      <c r="P146" s="98">
        <v>0</v>
      </c>
      <c r="Q146">
        <v>0</v>
      </c>
      <c r="R146" s="98">
        <v>0</v>
      </c>
      <c r="S146">
        <v>0</v>
      </c>
      <c r="T146" s="98">
        <v>0</v>
      </c>
      <c r="U146" s="98">
        <v>0</v>
      </c>
      <c r="V146">
        <v>0</v>
      </c>
      <c r="W146" s="98">
        <v>0</v>
      </c>
      <c r="X146" s="98">
        <v>0</v>
      </c>
      <c r="Y146">
        <v>0</v>
      </c>
      <c r="Z146" s="98">
        <v>0</v>
      </c>
      <c r="AA146" s="98">
        <v>0</v>
      </c>
      <c r="AB146" s="98">
        <v>0</v>
      </c>
      <c r="AC146" s="98">
        <v>0</v>
      </c>
    </row>
    <row r="147" spans="1:29" x14ac:dyDescent="0.2">
      <c r="C147" s="38"/>
      <c r="G147" s="10"/>
      <c r="H147" s="10"/>
      <c r="J147" s="10"/>
    </row>
    <row r="148" spans="1:29" x14ac:dyDescent="0.2">
      <c r="C148" s="38"/>
      <c r="G148" s="10"/>
      <c r="H148" s="10"/>
      <c r="J148" s="10"/>
    </row>
    <row r="149" spans="1:29" x14ac:dyDescent="0.2"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R149"/>
      <c r="T149"/>
      <c r="U149"/>
    </row>
    <row r="150" spans="1:29" x14ac:dyDescent="0.2"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R150"/>
      <c r="T150"/>
      <c r="U150"/>
    </row>
    <row r="151" spans="1:29" x14ac:dyDescent="0.2"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R151"/>
      <c r="T151"/>
      <c r="U151"/>
    </row>
    <row r="152" spans="1:29" x14ac:dyDescent="0.2"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R152"/>
      <c r="T152"/>
      <c r="U152"/>
    </row>
    <row r="153" spans="1:29" x14ac:dyDescent="0.2"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R153"/>
      <c r="T153"/>
      <c r="U153"/>
    </row>
    <row r="154" spans="1:29" x14ac:dyDescent="0.2"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R154"/>
      <c r="T154"/>
      <c r="U154"/>
    </row>
    <row r="155" spans="1:29" x14ac:dyDescent="0.2"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R155"/>
      <c r="T155"/>
      <c r="U155"/>
    </row>
    <row r="156" spans="1:29" x14ac:dyDescent="0.2"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R156"/>
      <c r="T156"/>
      <c r="U156"/>
    </row>
    <row r="157" spans="1:29" x14ac:dyDescent="0.2">
      <c r="C157"/>
    </row>
    <row r="158" spans="1:29" x14ac:dyDescent="0.2">
      <c r="C158"/>
    </row>
    <row r="159" spans="1:29" x14ac:dyDescent="0.2">
      <c r="C159"/>
    </row>
    <row r="160" spans="1:29" x14ac:dyDescent="0.2">
      <c r="C160"/>
    </row>
    <row r="161" spans="3:21" x14ac:dyDescent="0.2">
      <c r="C161"/>
    </row>
    <row r="162" spans="3:21" x14ac:dyDescent="0.2">
      <c r="C162"/>
    </row>
    <row r="163" spans="3:21" x14ac:dyDescent="0.2">
      <c r="C163"/>
    </row>
    <row r="164" spans="3:21" x14ac:dyDescent="0.2">
      <c r="C164"/>
    </row>
    <row r="165" spans="3:21" x14ac:dyDescent="0.2">
      <c r="C165"/>
    </row>
    <row r="166" spans="3:21" x14ac:dyDescent="0.2">
      <c r="C166"/>
    </row>
    <row r="167" spans="3:21" x14ac:dyDescent="0.2">
      <c r="C167"/>
    </row>
    <row r="168" spans="3:21" x14ac:dyDescent="0.2"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R168"/>
      <c r="T168"/>
      <c r="U168"/>
    </row>
    <row r="169" spans="3:21" x14ac:dyDescent="0.2"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R169"/>
      <c r="T169"/>
      <c r="U16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Summary</vt:lpstr>
      <vt:lpstr>Purchd Power Model Weather norm</vt:lpstr>
      <vt:lpstr>Purchased Power Model</vt:lpstr>
      <vt:lpstr>Rate Class Energy Model</vt:lpstr>
      <vt:lpstr>Rate Class Customer Model</vt:lpstr>
      <vt:lpstr>Rate Class Load Model</vt:lpstr>
      <vt:lpstr>2024 RPP non-RPP COP</vt:lpstr>
      <vt:lpstr>Summaries</vt:lpstr>
      <vt:lpstr>Inputs</vt:lpstr>
      <vt:lpstr>'Purchased Power Model'!Print_Area</vt:lpstr>
      <vt:lpstr>'Purchd Power Model Weather norm'!Print_Area</vt:lpstr>
      <vt:lpstr>'Rate Class Customer Model'!Print_Area</vt:lpstr>
      <vt:lpstr>'Rate Class Load Model'!Print_Area</vt:lpstr>
      <vt:lpstr>Summary!Print_Area</vt:lpstr>
      <vt:lpstr>'Purchased Power Model'!Print_Titles</vt:lpstr>
      <vt:lpstr>'Purchd Power Model Weather norm'!Print_Titles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2024-01-10T00:18:55Z</dcterms:modified>
</cp:coreProperties>
</file>