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4 Cost of Service\3. Interrogatories\Submission 20240119\"/>
    </mc:Choice>
  </mc:AlternateContent>
  <xr:revisionPtr revIDLastSave="0" documentId="13_ncr:1_{DB1AFD8A-20A5-42D3-8C88-F162564F98FB}" xr6:coauthVersionLast="47" xr6:coauthVersionMax="47" xr10:uidLastSave="{00000000-0000-0000-0000-000000000000}"/>
  <bookViews>
    <workbookView xWindow="28680" yWindow="-120" windowWidth="29040" windowHeight="15840" tabRatio="824" xr2:uid="{9A600A85-C3C7-495F-BC5B-D3F0E8245E0C}"/>
  </bookViews>
  <sheets>
    <sheet name="Weighing Factors" sheetId="2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7" l="1"/>
  <c r="J68" i="27" l="1"/>
  <c r="I68" i="27"/>
  <c r="H68" i="27"/>
  <c r="G68" i="27"/>
  <c r="K45" i="27"/>
  <c r="L45" i="27" s="1"/>
  <c r="K47" i="27"/>
  <c r="K48" i="27"/>
  <c r="J61" i="27"/>
  <c r="J8" i="27"/>
  <c r="I8" i="27"/>
  <c r="H8" i="27"/>
  <c r="G7" i="27"/>
  <c r="F7" i="27"/>
  <c r="F31" i="27" s="1"/>
  <c r="E7" i="27"/>
  <c r="G31" i="27" l="1"/>
  <c r="E31" i="27"/>
  <c r="H31" i="27"/>
  <c r="I31" i="27"/>
  <c r="J31" i="27"/>
  <c r="E55" i="27"/>
  <c r="H56" i="27"/>
  <c r="E53" i="27"/>
  <c r="I56" i="27"/>
  <c r="H55" i="27"/>
  <c r="F55" i="27"/>
  <c r="J57" i="27"/>
  <c r="L48" i="27"/>
  <c r="G55" i="27"/>
  <c r="E63" i="27"/>
  <c r="J63" i="27"/>
  <c r="I63" i="27"/>
  <c r="E52" i="27"/>
  <c r="I57" i="27"/>
  <c r="H54" i="27"/>
  <c r="I59" i="27"/>
  <c r="J59" i="27"/>
  <c r="H59" i="27"/>
  <c r="J56" i="27"/>
  <c r="F53" i="27"/>
  <c r="I61" i="27"/>
  <c r="G59" i="27"/>
  <c r="G57" i="27"/>
  <c r="G56" i="27"/>
  <c r="E54" i="27"/>
  <c r="J53" i="27"/>
  <c r="H52" i="27"/>
  <c r="H63" i="27"/>
  <c r="H61" i="27"/>
  <c r="F59" i="27"/>
  <c r="F57" i="27"/>
  <c r="F56" i="27"/>
  <c r="J52" i="27"/>
  <c r="F54" i="27"/>
  <c r="I53" i="27"/>
  <c r="G52" i="27"/>
  <c r="G63" i="27"/>
  <c r="G61" i="27"/>
  <c r="E59" i="27"/>
  <c r="E57" i="27"/>
  <c r="E56" i="27"/>
  <c r="H53" i="27"/>
  <c r="F52" i="27"/>
  <c r="F63" i="27"/>
  <c r="F61" i="27"/>
  <c r="J55" i="27"/>
  <c r="J54" i="27"/>
  <c r="H57" i="27"/>
  <c r="I52" i="27"/>
  <c r="G53" i="27"/>
  <c r="E61" i="27"/>
  <c r="I55" i="27"/>
  <c r="I54" i="27"/>
  <c r="G54" i="27"/>
  <c r="K52" i="27" l="1"/>
  <c r="L52" i="27" s="1"/>
  <c r="K53" i="27"/>
  <c r="L53" i="27" s="1"/>
  <c r="K56" i="27"/>
  <c r="L56" i="27" s="1"/>
  <c r="K55" i="27"/>
  <c r="L55" i="27" s="1"/>
  <c r="K59" i="27"/>
  <c r="L59" i="27" s="1"/>
  <c r="K57" i="27"/>
  <c r="L57" i="27" s="1"/>
  <c r="K63" i="27"/>
  <c r="L63" i="27" s="1"/>
  <c r="K54" i="27"/>
  <c r="L54" i="27" s="1"/>
  <c r="K61" i="27"/>
  <c r="L61" i="27" s="1"/>
  <c r="E20" i="27" l="1"/>
  <c r="F21" i="27"/>
  <c r="J23" i="27"/>
  <c r="F25" i="27"/>
  <c r="H26" i="27"/>
  <c r="J27" i="27"/>
  <c r="E28" i="27"/>
  <c r="F29" i="27"/>
  <c r="H30" i="27"/>
  <c r="F33" i="27"/>
  <c r="K34" i="27"/>
  <c r="L34" i="27" s="1"/>
  <c r="I20" i="27" l="1"/>
  <c r="I27" i="27"/>
  <c r="H27" i="27"/>
  <c r="F27" i="27"/>
  <c r="J33" i="27"/>
  <c r="E26" i="27"/>
  <c r="G23" i="27"/>
  <c r="H33" i="27"/>
  <c r="J30" i="27"/>
  <c r="J25" i="27"/>
  <c r="F23" i="27"/>
  <c r="G27" i="27"/>
  <c r="E33" i="27"/>
  <c r="E30" i="27"/>
  <c r="H25" i="27"/>
  <c r="I28" i="27"/>
  <c r="E25" i="27"/>
  <c r="G30" i="27"/>
  <c r="E29" i="27"/>
  <c r="G26" i="27"/>
  <c r="I23" i="27"/>
  <c r="E21" i="27"/>
  <c r="J29" i="27"/>
  <c r="F30" i="27"/>
  <c r="K30" i="27" s="1"/>
  <c r="L30" i="27" s="1"/>
  <c r="J28" i="27"/>
  <c r="F26" i="27"/>
  <c r="H23" i="27"/>
  <c r="J20" i="27"/>
  <c r="H28" i="27"/>
  <c r="J21" i="27"/>
  <c r="H20" i="27"/>
  <c r="I33" i="27"/>
  <c r="I29" i="27"/>
  <c r="G28" i="27"/>
  <c r="E27" i="27"/>
  <c r="I25" i="27"/>
  <c r="E23" i="27"/>
  <c r="I21" i="27"/>
  <c r="G20" i="27"/>
  <c r="H21" i="27"/>
  <c r="F20" i="27"/>
  <c r="H29" i="27"/>
  <c r="F28" i="27"/>
  <c r="J26" i="27"/>
  <c r="G33" i="27"/>
  <c r="I30" i="27"/>
  <c r="G29" i="27"/>
  <c r="I26" i="27"/>
  <c r="G25" i="27"/>
  <c r="G21" i="27"/>
  <c r="K33" i="27" l="1"/>
  <c r="L33" i="27" s="1"/>
  <c r="K25" i="27"/>
  <c r="L25" i="27" s="1"/>
  <c r="K27" i="27"/>
  <c r="L27" i="27" s="1"/>
  <c r="K28" i="27"/>
  <c r="L28" i="27" s="1"/>
  <c r="K21" i="27"/>
  <c r="L21" i="27" s="1"/>
  <c r="K23" i="27"/>
  <c r="L23" i="27" s="1"/>
  <c r="K26" i="27"/>
  <c r="L26" i="27" s="1"/>
  <c r="K29" i="27"/>
  <c r="L29" i="27" s="1"/>
  <c r="K20" i="27"/>
  <c r="L20" i="27" s="1"/>
  <c r="F41" i="27" l="1"/>
  <c r="E41" i="27"/>
  <c r="H50" i="27" l="1"/>
  <c r="E50" i="27"/>
  <c r="F50" i="27"/>
  <c r="G50" i="27"/>
  <c r="J50" i="27"/>
  <c r="I50" i="27"/>
  <c r="H22" i="27"/>
  <c r="J22" i="27"/>
  <c r="G22" i="27"/>
  <c r="F22" i="27"/>
  <c r="I22" i="27"/>
  <c r="E22" i="27"/>
  <c r="K41" i="27"/>
  <c r="L41" i="27" s="1"/>
  <c r="K50" i="27" l="1"/>
  <c r="L50" i="27" s="1"/>
  <c r="F35" i="27"/>
  <c r="I35" i="27"/>
  <c r="G35" i="27"/>
  <c r="J35" i="27"/>
  <c r="E35" i="27"/>
  <c r="H35" i="27"/>
  <c r="K22" i="27"/>
  <c r="L22" i="27" s="1"/>
  <c r="E24" i="27"/>
  <c r="J24" i="27"/>
  <c r="F24" i="27"/>
  <c r="I24" i="27"/>
  <c r="H24" i="27"/>
  <c r="G24" i="27"/>
  <c r="E32" i="27"/>
  <c r="H32" i="27"/>
  <c r="I32" i="27"/>
  <c r="G32" i="27"/>
  <c r="J32" i="27"/>
  <c r="F32" i="27"/>
  <c r="J51" i="27"/>
  <c r="G51" i="27"/>
  <c r="H51" i="27"/>
  <c r="I51" i="27"/>
  <c r="F51" i="27"/>
  <c r="E51" i="27"/>
  <c r="J58" i="27"/>
  <c r="H58" i="27"/>
  <c r="I58" i="27"/>
  <c r="F58" i="27"/>
  <c r="G58" i="27"/>
  <c r="E58" i="27"/>
  <c r="F64" i="27"/>
  <c r="E64" i="27"/>
  <c r="H64" i="27"/>
  <c r="G64" i="27"/>
  <c r="J64" i="27"/>
  <c r="I64" i="27"/>
  <c r="J49" i="27"/>
  <c r="I49" i="27"/>
  <c r="H49" i="27"/>
  <c r="E49" i="27"/>
  <c r="G49" i="27"/>
  <c r="F49" i="27"/>
  <c r="J19" i="27"/>
  <c r="I19" i="27"/>
  <c r="E19" i="27"/>
  <c r="G19" i="27"/>
  <c r="F19" i="27"/>
  <c r="H19" i="27"/>
  <c r="F11" i="27" l="1"/>
  <c r="F12" i="27" s="1"/>
  <c r="I11" i="27"/>
  <c r="I12" i="27" s="1"/>
  <c r="H11" i="27"/>
  <c r="H12" i="27" s="1"/>
  <c r="J11" i="27"/>
  <c r="J12" i="27" s="1"/>
  <c r="G11" i="27"/>
  <c r="G12" i="27" s="1"/>
  <c r="E11" i="27"/>
  <c r="J62" i="27"/>
  <c r="H62" i="27"/>
  <c r="I62" i="27"/>
  <c r="G62" i="27"/>
  <c r="F62" i="27"/>
  <c r="E62" i="27"/>
  <c r="K64" i="27"/>
  <c r="L64" i="27" s="1"/>
  <c r="K49" i="27"/>
  <c r="L49" i="27" s="1"/>
  <c r="K32" i="27"/>
  <c r="L32" i="27" s="1"/>
  <c r="I18" i="27"/>
  <c r="I36" i="27" s="1"/>
  <c r="F18" i="27"/>
  <c r="J18" i="27"/>
  <c r="J36" i="27" s="1"/>
  <c r="E18" i="27"/>
  <c r="H18" i="27"/>
  <c r="H36" i="27" s="1"/>
  <c r="G18" i="27"/>
  <c r="K58" i="27"/>
  <c r="L58" i="27" s="1"/>
  <c r="K51" i="27"/>
  <c r="L51" i="27" s="1"/>
  <c r="K31" i="27"/>
  <c r="L31" i="27" s="1"/>
  <c r="K24" i="27"/>
  <c r="L24" i="27" s="1"/>
  <c r="K35" i="27"/>
  <c r="L35" i="27" s="1"/>
  <c r="I60" i="27"/>
  <c r="I65" i="27" s="1"/>
  <c r="G60" i="27"/>
  <c r="J60" i="27"/>
  <c r="H60" i="27"/>
  <c r="F60" i="27"/>
  <c r="E60" i="27"/>
  <c r="K19" i="27"/>
  <c r="L19" i="27" s="1"/>
  <c r="H65" i="27" l="1"/>
  <c r="J65" i="27"/>
  <c r="K62" i="27"/>
  <c r="L62" i="27" s="1"/>
  <c r="E12" i="27"/>
  <c r="K11" i="27"/>
  <c r="K18" i="27"/>
  <c r="L18" i="27" s="1"/>
  <c r="E67" i="27"/>
  <c r="F67" i="27"/>
  <c r="F68" i="27" s="1"/>
  <c r="K60" i="27"/>
  <c r="L60" i="27" s="1"/>
  <c r="K12" i="27" l="1"/>
  <c r="L11" i="27"/>
  <c r="L12" i="27" s="1"/>
  <c r="E68" i="27"/>
  <c r="K67" i="27"/>
  <c r="L67" i="27" l="1"/>
  <c r="K68" i="27"/>
  <c r="F39" i="27" l="1"/>
  <c r="E39" i="27"/>
  <c r="F16" i="27"/>
  <c r="E16" i="27"/>
  <c r="K38" i="27" l="1"/>
  <c r="K16" i="27"/>
  <c r="L16" i="27" s="1"/>
  <c r="G14" i="27"/>
  <c r="G36" i="27" s="1"/>
  <c r="D17" i="27"/>
  <c r="F15" i="27"/>
  <c r="F36" i="27" s="1"/>
  <c r="E15" i="27"/>
  <c r="E36" i="27" s="1"/>
  <c r="K39" i="27"/>
  <c r="L39" i="27" s="1"/>
  <c r="K14" i="27" l="1"/>
  <c r="K15" i="27"/>
  <c r="L15" i="27" s="1"/>
  <c r="L38" i="27"/>
  <c r="K36" i="27" l="1"/>
  <c r="L14" i="27"/>
  <c r="L47" i="27" l="1"/>
  <c r="F46" i="27" l="1"/>
  <c r="G46" i="27"/>
  <c r="E46" i="27"/>
  <c r="K46" i="27" l="1"/>
  <c r="L46" i="27" s="1"/>
  <c r="F40" i="27" l="1"/>
  <c r="E40" i="27"/>
  <c r="F42" i="27"/>
  <c r="E42" i="27"/>
  <c r="D44" i="27"/>
  <c r="K42" i="27" l="1"/>
  <c r="L42" i="27" s="1"/>
  <c r="G43" i="27"/>
  <c r="G65" i="27" s="1"/>
  <c r="F43" i="27"/>
  <c r="F65" i="27" s="1"/>
  <c r="E43" i="27"/>
  <c r="K40" i="27"/>
  <c r="K43" i="27" l="1"/>
  <c r="L43" i="27" s="1"/>
  <c r="L40" i="27"/>
  <c r="E65" i="27"/>
  <c r="E70" i="27" s="1"/>
  <c r="K65" i="27" l="1"/>
  <c r="K70" i="27" s="1"/>
  <c r="H70" i="27" l="1"/>
  <c r="H72" i="27" s="1"/>
  <c r="I70" i="27"/>
  <c r="I72" i="27" s="1"/>
  <c r="J70" i="27"/>
  <c r="J72" i="27" s="1"/>
  <c r="F70" i="27"/>
  <c r="F72" i="27" s="1"/>
  <c r="G70" i="27"/>
  <c r="G72" i="27" s="1"/>
  <c r="E72" i="27"/>
  <c r="G73" i="27" l="1"/>
  <c r="F73" i="27"/>
  <c r="I73" i="27"/>
  <c r="E73" i="27"/>
  <c r="H73" i="27"/>
  <c r="J73" i="27"/>
</calcChain>
</file>

<file path=xl/sharedStrings.xml><?xml version="1.0" encoding="utf-8"?>
<sst xmlns="http://schemas.openxmlformats.org/spreadsheetml/2006/main" count="113" uniqueCount="95">
  <si>
    <t>Orangeville Hydro Limited</t>
  </si>
  <si>
    <t>EB-2023-0045</t>
  </si>
  <si>
    <t>Residential</t>
  </si>
  <si>
    <t>General Service &lt; 50 kW</t>
  </si>
  <si>
    <t>General Service &gt; 50 kW</t>
  </si>
  <si>
    <t>StreetLight (per connection)</t>
  </si>
  <si>
    <t>Description</t>
  </si>
  <si>
    <t>10-500-53150-06-635</t>
  </si>
  <si>
    <t>10-500-53150-05-506</t>
  </si>
  <si>
    <t>10-500-53150-06-631</t>
  </si>
  <si>
    <t>10-500-53150-05-521</t>
  </si>
  <si>
    <t>10-500-53150-05-504</t>
  </si>
  <si>
    <t>10-500-53150-05-512</t>
  </si>
  <si>
    <t>10-500-53150-05-525</t>
  </si>
  <si>
    <t>10-500-53150-05-524</t>
  </si>
  <si>
    <t>10-500-53150-05-528</t>
  </si>
  <si>
    <t>10-500-53150-05-527</t>
  </si>
  <si>
    <t>10-500-53150-05-508</t>
  </si>
  <si>
    <t>10-500-53150-05-522</t>
  </si>
  <si>
    <t>Postage</t>
  </si>
  <si>
    <t>10-500-53200-06-641</t>
  </si>
  <si>
    <t>10-100-53200-02-200</t>
  </si>
  <si>
    <t>10-500-53200-05-530</t>
  </si>
  <si>
    <t>10-500-53200-05-506</t>
  </si>
  <si>
    <t>10-500-53200-05-504</t>
  </si>
  <si>
    <t>10-500-53200-06-631</t>
  </si>
  <si>
    <t>10-500-53200-09-902</t>
  </si>
  <si>
    <t>10-500-53200-05-507</t>
  </si>
  <si>
    <t>Mileage</t>
  </si>
  <si>
    <t>Total</t>
  </si>
  <si>
    <t>GL</t>
  </si>
  <si>
    <t>Cashier</t>
  </si>
  <si>
    <t>Vehicles</t>
  </si>
  <si>
    <t>Training</t>
  </si>
  <si>
    <t>Sentinel Light (per connection?)</t>
  </si>
  <si>
    <t>Unmetered Scattered Load (per connection?)</t>
  </si>
  <si>
    <t>Finance</t>
  </si>
  <si>
    <t>Conferences</t>
  </si>
  <si>
    <t>Associations</t>
  </si>
  <si>
    <t>Staff Related</t>
  </si>
  <si>
    <t>Meals</t>
  </si>
  <si>
    <t>Stationary</t>
  </si>
  <si>
    <t>10-500-53150-05-507</t>
  </si>
  <si>
    <t>Office Supplies</t>
  </si>
  <si>
    <t>Computer Supplies</t>
  </si>
  <si>
    <t>Filenexus</t>
  </si>
  <si>
    <t>10-500-53150-05-523</t>
  </si>
  <si>
    <t>Subscriptions</t>
  </si>
  <si>
    <t>Advertising-Cust Education</t>
  </si>
  <si>
    <t>10-500-53150-05-536</t>
  </si>
  <si>
    <t>Computer Consultant</t>
  </si>
  <si>
    <t>Smart Meters</t>
  </si>
  <si>
    <t>10-500-53150-06-642</t>
  </si>
  <si>
    <t>Equipment Mtce</t>
  </si>
  <si>
    <t>Prepaids</t>
  </si>
  <si>
    <t>Lines</t>
  </si>
  <si>
    <t>10-600-53200-02-200</t>
  </si>
  <si>
    <t>10-500-53200-05-501</t>
  </si>
  <si>
    <t>Cell Phone</t>
  </si>
  <si>
    <t>10-500-53200-05-508</t>
  </si>
  <si>
    <t>10-500-53200-05-521</t>
  </si>
  <si>
    <t>10-500-53200-05-524</t>
  </si>
  <si>
    <t>10-500-53200-05-525</t>
  </si>
  <si>
    <t>10-500-53200-05-527</t>
  </si>
  <si>
    <t>Advertising</t>
  </si>
  <si>
    <t>10-500-53200-05-528</t>
  </si>
  <si>
    <t>Bank Charges</t>
  </si>
  <si>
    <t>10-500-53200-06-601</t>
  </si>
  <si>
    <t>Customer Service-Regular</t>
  </si>
  <si>
    <t>Consultant</t>
  </si>
  <si>
    <t>10-500-53200-06-632</t>
  </si>
  <si>
    <t>Legal Costs</t>
  </si>
  <si>
    <t>Contractors</t>
  </si>
  <si>
    <t>10-000-53200-09-901</t>
  </si>
  <si>
    <t>Credit insurance</t>
  </si>
  <si>
    <t># of Forecast Customers 2024</t>
  </si>
  <si>
    <t># of Forecast Connections 2024</t>
  </si>
  <si>
    <t>Wages</t>
  </si>
  <si>
    <t>B&amp;C Supervision</t>
  </si>
  <si>
    <t>Check</t>
  </si>
  <si>
    <t>Senior CSR</t>
  </si>
  <si>
    <t>2 x CSR</t>
  </si>
  <si>
    <t>Retailer Charges</t>
  </si>
  <si>
    <t>Marketing Coordinator</t>
  </si>
  <si>
    <t>Total for 5315</t>
  </si>
  <si>
    <t>Total for Billing and Collecting</t>
  </si>
  <si>
    <t>Total for 5340</t>
  </si>
  <si>
    <t>Dollars per customer bill</t>
  </si>
  <si>
    <t>APH</t>
  </si>
  <si>
    <t>Cost of Service 2024</t>
  </si>
  <si>
    <t>Billing and Collecting Weighting Factors</t>
  </si>
  <si>
    <t>Total for 5305</t>
  </si>
  <si>
    <t>Agreed to App 2-JC</t>
  </si>
  <si>
    <t>2014 COS Weighing Factors</t>
  </si>
  <si>
    <t>2024 COS Weighing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</si>
</sst>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39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6" fillId="0" borderId="0" xfId="0" applyFont="1"/>
    <xf numFmtId="166" fontId="2" fillId="2" borderId="1" xfId="1" quotePrefix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1" xfId="1" quotePrefix="1" applyNumberFormat="1" applyFont="1" applyFill="1" applyBorder="1" applyAlignment="1">
      <alignment horizontal="center" vertical="center" wrapText="1"/>
    </xf>
    <xf numFmtId="166" fontId="5" fillId="0" borderId="0" xfId="1" applyNumberFormat="1" applyFont="1"/>
    <xf numFmtId="166" fontId="6" fillId="0" borderId="0" xfId="1" applyNumberFormat="1" applyFont="1"/>
    <xf numFmtId="166" fontId="6" fillId="0" borderId="3" xfId="1" applyNumberFormat="1" applyFont="1" applyBorder="1"/>
    <xf numFmtId="166" fontId="5" fillId="0" borderId="0" xfId="1" applyNumberFormat="1" applyFont="1" applyBorder="1"/>
    <xf numFmtId="166" fontId="5" fillId="0" borderId="0" xfId="1" quotePrefix="1" applyNumberFormat="1" applyFont="1"/>
    <xf numFmtId="166" fontId="5" fillId="0" borderId="3" xfId="1" applyNumberFormat="1" applyFont="1" applyBorder="1"/>
    <xf numFmtId="166" fontId="5" fillId="0" borderId="0" xfId="1" applyNumberFormat="1" applyFont="1" applyFill="1"/>
    <xf numFmtId="44" fontId="5" fillId="0" borderId="0" xfId="2" applyFont="1"/>
  </cellXfs>
  <cellStyles count="8">
    <cellStyle name="Comma" xfId="1" builtinId="3"/>
    <cellStyle name="Comma 10" xfId="3" xr:uid="{D68AC6EA-29EA-4018-A288-B4579EA1B3B3}"/>
    <cellStyle name="Comma 2" xfId="7" xr:uid="{50CA2639-6289-492C-8954-F10B600F3AF6}"/>
    <cellStyle name="Currency" xfId="2" builtinId="4"/>
    <cellStyle name="Currency 2" xfId="6" xr:uid="{538CD389-706D-4FE6-865F-C91E28035371}"/>
    <cellStyle name="Normal" xfId="0" builtinId="0"/>
    <cellStyle name="Normal 2" xfId="4" xr:uid="{6CF17E30-BD08-4DA1-ABF6-CF5CA7838C2F}"/>
    <cellStyle name="Percent 2" xfId="5" xr:uid="{6AB69338-BE17-4E68-ABFD-2F824CFB3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\Rate%20Submission\2024%20Cost%20of%20Service\3.%20Interrogatories\OHL%202024%20Load%20Forecast%20Model%2020240119.xlsx" TargetMode="External"/><Relationship Id="rId1" Type="http://schemas.openxmlformats.org/officeDocument/2006/relationships/externalLinkPath" Target="/FINANCE/Rate%20Submission/2024%20Cost%20of%20Service/3.%20Interrogatories/OHL%202024%20Load%20Forecast%20Model%2020240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urchd Power Model Weather norm"/>
      <sheetName val="Purchased Power Model"/>
      <sheetName val="Rate Class Energy Model"/>
      <sheetName val="Rate Class Customer Model"/>
      <sheetName val="Rate Class Load Model"/>
      <sheetName val="2024 RPP non-RPP COP"/>
      <sheetName val="Summaries"/>
      <sheetName val="Inputs"/>
    </sheetNames>
    <sheetDataSet>
      <sheetData sheetId="0">
        <row r="14">
          <cell r="M14">
            <v>11740.5</v>
          </cell>
        </row>
        <row r="18">
          <cell r="M18">
            <v>1168.4834481663743</v>
          </cell>
        </row>
        <row r="22">
          <cell r="M22">
            <v>126.13411514324987</v>
          </cell>
        </row>
        <row r="27">
          <cell r="M27">
            <v>2974.135068550856</v>
          </cell>
        </row>
        <row r="32">
          <cell r="M32">
            <v>157.10035188815147</v>
          </cell>
        </row>
        <row r="37">
          <cell r="M37">
            <v>96.349640189523058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C67C-20FA-4EDE-AE9F-DC9237684C27}">
  <sheetPr>
    <tabColor rgb="FFFF0000"/>
  </sheetPr>
  <dimension ref="A1:L75"/>
  <sheetViews>
    <sheetView tabSelected="1" topLeftCell="A42" zoomScale="91" zoomScaleNormal="91" workbookViewId="0">
      <selection activeCell="H76" sqref="H76"/>
    </sheetView>
  </sheetViews>
  <sheetFormatPr defaultRowHeight="14.25" x14ac:dyDescent="0.2"/>
  <cols>
    <col min="1" max="1" width="9.140625" style="1"/>
    <col min="2" max="2" width="20.7109375" style="1" customWidth="1"/>
    <col min="3" max="3" width="28.85546875" style="1" customWidth="1"/>
    <col min="4" max="4" width="12.7109375" style="6" customWidth="1"/>
    <col min="5" max="11" width="15.7109375" style="6" customWidth="1"/>
    <col min="12" max="12" width="19.140625" style="6" customWidth="1"/>
    <col min="13" max="16384" width="9.140625" style="1"/>
  </cols>
  <sheetData>
    <row r="1" spans="1:12" ht="15" x14ac:dyDescent="0.25">
      <c r="A1" s="2" t="s">
        <v>0</v>
      </c>
    </row>
    <row r="2" spans="1:12" ht="15" x14ac:dyDescent="0.25">
      <c r="A2" s="2" t="s">
        <v>89</v>
      </c>
    </row>
    <row r="3" spans="1:12" ht="15" x14ac:dyDescent="0.25">
      <c r="A3" s="2" t="s">
        <v>1</v>
      </c>
    </row>
    <row r="4" spans="1:12" ht="15" x14ac:dyDescent="0.25">
      <c r="A4" s="2" t="s">
        <v>90</v>
      </c>
    </row>
    <row r="6" spans="1:12" x14ac:dyDescent="0.2">
      <c r="A6" s="1">
        <v>2024</v>
      </c>
    </row>
    <row r="7" spans="1:12" x14ac:dyDescent="0.2">
      <c r="A7" s="1" t="s">
        <v>75</v>
      </c>
      <c r="E7" s="6">
        <f>+[1]Summary!$M$14</f>
        <v>11740.5</v>
      </c>
      <c r="F7" s="6">
        <f>+[1]Summary!$M$18</f>
        <v>1168.4834481663743</v>
      </c>
      <c r="G7" s="6">
        <f>+[1]Summary!$M$22</f>
        <v>126.13411514324987</v>
      </c>
      <c r="H7" s="6">
        <v>3</v>
      </c>
      <c r="I7" s="6">
        <v>34</v>
      </c>
      <c r="J7" s="6">
        <v>28</v>
      </c>
    </row>
    <row r="8" spans="1:12" x14ac:dyDescent="0.2">
      <c r="A8" s="1" t="s">
        <v>76</v>
      </c>
      <c r="H8" s="6">
        <f>+[1]Summary!$M$27</f>
        <v>2974.135068550856</v>
      </c>
      <c r="I8" s="6">
        <f>+[1]Summary!$M$32</f>
        <v>157.10035188815147</v>
      </c>
      <c r="J8" s="6">
        <f>+[1]Summary!$M$37</f>
        <v>96.349640189523058</v>
      </c>
    </row>
    <row r="10" spans="1:12" ht="51" x14ac:dyDescent="0.2">
      <c r="A10" s="3" t="s">
        <v>88</v>
      </c>
      <c r="B10" s="3" t="s">
        <v>30</v>
      </c>
      <c r="C10" s="3" t="s">
        <v>6</v>
      </c>
      <c r="D10" s="3" t="s">
        <v>29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34</v>
      </c>
      <c r="J10" s="3" t="s">
        <v>35</v>
      </c>
      <c r="K10" s="3" t="s">
        <v>29</v>
      </c>
      <c r="L10" s="4" t="s">
        <v>79</v>
      </c>
    </row>
    <row r="11" spans="1:12" x14ac:dyDescent="0.2">
      <c r="A11" s="1">
        <v>5305</v>
      </c>
      <c r="B11" s="1" t="s">
        <v>77</v>
      </c>
      <c r="C11" s="1" t="s">
        <v>78</v>
      </c>
      <c r="D11" s="6">
        <v>135978.23179603429</v>
      </c>
      <c r="E11" s="6">
        <f t="shared" ref="E11:J11" si="0">+$D$11*E7/SUM($E$7:$J$7)</f>
        <v>121865.5040831566</v>
      </c>
      <c r="F11" s="6">
        <f t="shared" si="0"/>
        <v>12128.770020324533</v>
      </c>
      <c r="G11" s="6">
        <f t="shared" si="0"/>
        <v>1309.2625973352979</v>
      </c>
      <c r="H11" s="6">
        <f t="shared" si="0"/>
        <v>31.139773625439279</v>
      </c>
      <c r="I11" s="6">
        <f t="shared" si="0"/>
        <v>352.91743442164511</v>
      </c>
      <c r="J11" s="6">
        <f t="shared" si="0"/>
        <v>290.63788717076659</v>
      </c>
      <c r="K11" s="6">
        <f>SUM(E11:J11)</f>
        <v>135978.23179603432</v>
      </c>
      <c r="L11" s="6">
        <f>+D11-K11</f>
        <v>0</v>
      </c>
    </row>
    <row r="12" spans="1:12" s="2" customFormat="1" ht="15.75" thickBot="1" x14ac:dyDescent="0.3">
      <c r="A12" s="2" t="s">
        <v>91</v>
      </c>
      <c r="D12" s="7"/>
      <c r="E12" s="8">
        <f t="shared" ref="E12:J12" si="1">E11</f>
        <v>121865.5040831566</v>
      </c>
      <c r="F12" s="8">
        <f t="shared" si="1"/>
        <v>12128.770020324533</v>
      </c>
      <c r="G12" s="8">
        <f t="shared" si="1"/>
        <v>1309.2625973352979</v>
      </c>
      <c r="H12" s="8">
        <f t="shared" si="1"/>
        <v>31.139773625439279</v>
      </c>
      <c r="I12" s="8">
        <f t="shared" si="1"/>
        <v>352.91743442164511</v>
      </c>
      <c r="J12" s="8">
        <f t="shared" si="1"/>
        <v>290.63788717076659</v>
      </c>
      <c r="K12" s="8">
        <f>K11</f>
        <v>135978.23179603432</v>
      </c>
      <c r="L12" s="8">
        <f>L11</f>
        <v>0</v>
      </c>
    </row>
    <row r="13" spans="1:12" x14ac:dyDescent="0.2">
      <c r="K13" s="9"/>
    </row>
    <row r="14" spans="1:12" x14ac:dyDescent="0.2">
      <c r="A14" s="1">
        <v>5315</v>
      </c>
      <c r="B14" s="1" t="s">
        <v>77</v>
      </c>
      <c r="C14" s="1" t="s">
        <v>80</v>
      </c>
      <c r="D14" s="6">
        <v>78638.817203649247</v>
      </c>
      <c r="G14" s="6">
        <f>+D14-SUM(H14:J14)</f>
        <v>77138.817203649247</v>
      </c>
      <c r="H14" s="6">
        <v>500</v>
      </c>
      <c r="I14" s="6">
        <v>500</v>
      </c>
      <c r="J14" s="6">
        <v>500</v>
      </c>
      <c r="K14" s="6">
        <f t="shared" ref="K14:K34" si="2">SUM(E14:J14)</f>
        <v>78638.817203649247</v>
      </c>
      <c r="L14" s="6">
        <f>+D14-K14</f>
        <v>0</v>
      </c>
    </row>
    <row r="15" spans="1:12" x14ac:dyDescent="0.2">
      <c r="C15" s="1" t="s">
        <v>81</v>
      </c>
      <c r="D15" s="10">
        <v>61533.696454309749</v>
      </c>
      <c r="E15" s="6">
        <f>D15*E7/SUM($E$7:$F$7)</f>
        <v>55963.846117134832</v>
      </c>
      <c r="F15" s="6">
        <f>D15*F7/SUM($E$7:$F$7)</f>
        <v>5569.8503371749139</v>
      </c>
      <c r="K15" s="6">
        <f t="shared" si="2"/>
        <v>61533.696454309742</v>
      </c>
      <c r="L15" s="6">
        <f>+D15-K15</f>
        <v>0</v>
      </c>
    </row>
    <row r="16" spans="1:12" x14ac:dyDescent="0.2">
      <c r="C16" s="1" t="s">
        <v>31</v>
      </c>
      <c r="D16" s="6">
        <v>17567.963117058713</v>
      </c>
      <c r="E16" s="6">
        <f>D16*E7/SUM($E$7:$F$7)</f>
        <v>15977.762447679414</v>
      </c>
      <c r="F16" s="6">
        <f>D16*F7/SUM($E$7:$F$7)</f>
        <v>1590.200669379298</v>
      </c>
      <c r="K16" s="6">
        <f t="shared" si="2"/>
        <v>17567.963117058713</v>
      </c>
      <c r="L16" s="6">
        <f>+D16-K16</f>
        <v>0</v>
      </c>
    </row>
    <row r="17" spans="1:12" ht="15" thickBot="1" x14ac:dyDescent="0.25">
      <c r="D17" s="11">
        <f>SUM(D14:D16)</f>
        <v>157740.47677501771</v>
      </c>
    </row>
    <row r="18" spans="1:12" x14ac:dyDescent="0.2">
      <c r="A18" s="1">
        <v>5315</v>
      </c>
      <c r="B18" s="1" t="s">
        <v>11</v>
      </c>
      <c r="C18" s="1" t="s">
        <v>19</v>
      </c>
      <c r="D18" s="6">
        <v>3738.1089599999991</v>
      </c>
      <c r="E18" s="6">
        <f t="shared" ref="E18:J31" si="3">+$D18*E$7/SUM($E$7:$J$7)</f>
        <v>3350.1430832802598</v>
      </c>
      <c r="F18" s="6">
        <f t="shared" si="3"/>
        <v>333.42589683591387</v>
      </c>
      <c r="G18" s="6">
        <f t="shared" si="3"/>
        <v>35.992277450946247</v>
      </c>
      <c r="H18" s="6">
        <f t="shared" si="3"/>
        <v>0.8560478045944192</v>
      </c>
      <c r="I18" s="6">
        <f t="shared" si="3"/>
        <v>9.7018751187367513</v>
      </c>
      <c r="J18" s="6">
        <f t="shared" si="3"/>
        <v>7.9897795095479136</v>
      </c>
      <c r="K18" s="6">
        <f t="shared" si="2"/>
        <v>3738.1089599999991</v>
      </c>
      <c r="L18" s="6">
        <f t="shared" ref="L18:L35" si="4">+D18-K18</f>
        <v>0</v>
      </c>
    </row>
    <row r="19" spans="1:12" x14ac:dyDescent="0.2">
      <c r="A19" s="1">
        <v>5315</v>
      </c>
      <c r="B19" s="1" t="s">
        <v>8</v>
      </c>
      <c r="C19" s="1" t="s">
        <v>41</v>
      </c>
      <c r="D19" s="6">
        <v>1193.0788320000001</v>
      </c>
      <c r="E19" s="6">
        <f t="shared" si="3"/>
        <v>1069.2531543630801</v>
      </c>
      <c r="F19" s="6">
        <f t="shared" si="3"/>
        <v>106.4183478363736</v>
      </c>
      <c r="G19" s="6">
        <f t="shared" si="3"/>
        <v>11.487526126631392</v>
      </c>
      <c r="H19" s="6">
        <f t="shared" si="3"/>
        <v>0.27322170802685064</v>
      </c>
      <c r="I19" s="6">
        <f t="shared" si="3"/>
        <v>3.0965126909709739</v>
      </c>
      <c r="J19" s="6">
        <f t="shared" si="3"/>
        <v>2.5500692749172731</v>
      </c>
      <c r="K19" s="6">
        <f t="shared" ref="K19:K32" si="5">SUM(E19:J19)</f>
        <v>1193.0788319999999</v>
      </c>
      <c r="L19" s="6">
        <f t="shared" si="4"/>
        <v>0</v>
      </c>
    </row>
    <row r="20" spans="1:12" x14ac:dyDescent="0.2">
      <c r="A20" s="1">
        <v>5315</v>
      </c>
      <c r="B20" s="1" t="s">
        <v>42</v>
      </c>
      <c r="C20" s="1" t="s">
        <v>43</v>
      </c>
      <c r="D20" s="6">
        <v>480</v>
      </c>
      <c r="E20" s="6">
        <f t="shared" si="3"/>
        <v>430.18239895675089</v>
      </c>
      <c r="F20" s="6">
        <f t="shared" si="3"/>
        <v>42.814276468077779</v>
      </c>
      <c r="G20" s="6">
        <f t="shared" si="3"/>
        <v>4.6216665595681841</v>
      </c>
      <c r="H20" s="6">
        <f t="shared" si="3"/>
        <v>0.1099226776432224</v>
      </c>
      <c r="I20" s="6">
        <f t="shared" si="3"/>
        <v>1.2457903466231872</v>
      </c>
      <c r="J20" s="6">
        <f t="shared" si="3"/>
        <v>1.0259449913367424</v>
      </c>
      <c r="K20" s="6">
        <f t="shared" si="5"/>
        <v>480.00000000000006</v>
      </c>
      <c r="L20" s="6">
        <f t="shared" si="4"/>
        <v>0</v>
      </c>
    </row>
    <row r="21" spans="1:12" x14ac:dyDescent="0.2">
      <c r="A21" s="1">
        <v>5315</v>
      </c>
      <c r="B21" s="1" t="s">
        <v>17</v>
      </c>
      <c r="C21" s="1" t="s">
        <v>44</v>
      </c>
      <c r="D21" s="6">
        <v>360</v>
      </c>
      <c r="E21" s="6">
        <f t="shared" si="3"/>
        <v>322.63679921756318</v>
      </c>
      <c r="F21" s="6">
        <f t="shared" si="3"/>
        <v>32.110707351058338</v>
      </c>
      <c r="G21" s="6">
        <f t="shared" si="3"/>
        <v>3.4662499196761387</v>
      </c>
      <c r="H21" s="6">
        <f t="shared" si="3"/>
        <v>8.2442008232416805E-2</v>
      </c>
      <c r="I21" s="6">
        <f t="shared" si="3"/>
        <v>0.93434275996739047</v>
      </c>
      <c r="J21" s="6">
        <f t="shared" si="3"/>
        <v>0.76945874350255683</v>
      </c>
      <c r="K21" s="6">
        <f t="shared" si="5"/>
        <v>360.00000000000006</v>
      </c>
      <c r="L21" s="6">
        <f t="shared" si="4"/>
        <v>0</v>
      </c>
    </row>
    <row r="22" spans="1:12" x14ac:dyDescent="0.2">
      <c r="A22" s="1">
        <v>5315</v>
      </c>
      <c r="B22" s="1" t="s">
        <v>12</v>
      </c>
      <c r="C22" s="1" t="s">
        <v>45</v>
      </c>
      <c r="D22" s="6">
        <v>18592.757879999997</v>
      </c>
      <c r="E22" s="6">
        <f t="shared" si="3"/>
        <v>16663.077475084236</v>
      </c>
      <c r="F22" s="6">
        <f t="shared" si="3"/>
        <v>1658.4072420382324</v>
      </c>
      <c r="G22" s="6">
        <f t="shared" si="3"/>
        <v>179.01984863363299</v>
      </c>
      <c r="H22" s="6">
        <f t="shared" si="3"/>
        <v>4.2578452727952563</v>
      </c>
      <c r="I22" s="6">
        <f t="shared" si="3"/>
        <v>48.255579758346236</v>
      </c>
      <c r="J22" s="6">
        <f t="shared" si="3"/>
        <v>39.739889212755727</v>
      </c>
      <c r="K22" s="6">
        <f t="shared" si="5"/>
        <v>18592.757879999997</v>
      </c>
      <c r="L22" s="6">
        <f t="shared" si="4"/>
        <v>0</v>
      </c>
    </row>
    <row r="23" spans="1:12" x14ac:dyDescent="0.2">
      <c r="A23" s="1">
        <v>5315</v>
      </c>
      <c r="B23" s="1" t="s">
        <v>10</v>
      </c>
      <c r="C23" s="1" t="s">
        <v>37</v>
      </c>
      <c r="D23" s="6">
        <v>4000.0000000000005</v>
      </c>
      <c r="E23" s="6">
        <f t="shared" si="3"/>
        <v>3584.8533246395914</v>
      </c>
      <c r="F23" s="6">
        <f t="shared" si="3"/>
        <v>356.7856372339815</v>
      </c>
      <c r="G23" s="6">
        <f t="shared" si="3"/>
        <v>38.513887996401543</v>
      </c>
      <c r="H23" s="6">
        <f t="shared" si="3"/>
        <v>0.91602231369352016</v>
      </c>
      <c r="I23" s="6">
        <f t="shared" si="3"/>
        <v>10.381586221859896</v>
      </c>
      <c r="J23" s="6">
        <f t="shared" si="3"/>
        <v>8.5495415944728546</v>
      </c>
      <c r="K23" s="6">
        <f t="shared" si="5"/>
        <v>4000.0000000000009</v>
      </c>
      <c r="L23" s="6">
        <f t="shared" si="4"/>
        <v>0</v>
      </c>
    </row>
    <row r="24" spans="1:12" x14ac:dyDescent="0.2">
      <c r="A24" s="1">
        <v>5315</v>
      </c>
      <c r="B24" s="1" t="s">
        <v>18</v>
      </c>
      <c r="C24" s="1" t="s">
        <v>38</v>
      </c>
      <c r="D24" s="6">
        <v>2733.7042999999999</v>
      </c>
      <c r="E24" s="6">
        <f t="shared" si="3"/>
        <v>2449.9822371091359</v>
      </c>
      <c r="F24" s="6">
        <f t="shared" si="3"/>
        <v>243.83660767119383</v>
      </c>
      <c r="G24" s="6">
        <f t="shared" si="3"/>
        <v>26.321395306370313</v>
      </c>
      <c r="H24" s="6">
        <f t="shared" si="3"/>
        <v>0.62603353445998111</v>
      </c>
      <c r="I24" s="6">
        <f t="shared" si="3"/>
        <v>7.0950467238797854</v>
      </c>
      <c r="J24" s="6">
        <f t="shared" si="3"/>
        <v>5.842979654959823</v>
      </c>
      <c r="K24" s="6">
        <f t="shared" si="5"/>
        <v>2733.7042999999999</v>
      </c>
      <c r="L24" s="6">
        <f t="shared" si="4"/>
        <v>0</v>
      </c>
    </row>
    <row r="25" spans="1:12" x14ac:dyDescent="0.2">
      <c r="A25" s="1">
        <v>5315</v>
      </c>
      <c r="B25" s="1" t="s">
        <v>46</v>
      </c>
      <c r="C25" s="1" t="s">
        <v>47</v>
      </c>
      <c r="D25" s="6">
        <v>0</v>
      </c>
      <c r="E25" s="6">
        <f t="shared" si="3"/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  <c r="I25" s="6">
        <f t="shared" si="3"/>
        <v>0</v>
      </c>
      <c r="J25" s="6">
        <f t="shared" si="3"/>
        <v>0</v>
      </c>
      <c r="K25" s="6">
        <f t="shared" si="5"/>
        <v>0</v>
      </c>
      <c r="L25" s="6">
        <f t="shared" si="4"/>
        <v>0</v>
      </c>
    </row>
    <row r="26" spans="1:12" x14ac:dyDescent="0.2">
      <c r="A26" s="1">
        <v>5315</v>
      </c>
      <c r="B26" s="1" t="s">
        <v>14</v>
      </c>
      <c r="C26" s="1" t="s">
        <v>33</v>
      </c>
      <c r="D26" s="6">
        <v>8000.0000000000009</v>
      </c>
      <c r="E26" s="6">
        <f t="shared" si="3"/>
        <v>7169.7066492791828</v>
      </c>
      <c r="F26" s="6">
        <f t="shared" si="3"/>
        <v>713.57127446796301</v>
      </c>
      <c r="G26" s="6">
        <f t="shared" si="3"/>
        <v>77.027775992803086</v>
      </c>
      <c r="H26" s="6">
        <f t="shared" si="3"/>
        <v>1.8320446273870403</v>
      </c>
      <c r="I26" s="6">
        <f t="shared" si="3"/>
        <v>20.763172443719792</v>
      </c>
      <c r="J26" s="6">
        <f t="shared" si="3"/>
        <v>17.099083188945709</v>
      </c>
      <c r="K26" s="6">
        <f t="shared" si="5"/>
        <v>8000.0000000000018</v>
      </c>
      <c r="L26" s="6">
        <f t="shared" si="4"/>
        <v>0</v>
      </c>
    </row>
    <row r="27" spans="1:12" x14ac:dyDescent="0.2">
      <c r="A27" s="1">
        <v>5315</v>
      </c>
      <c r="B27" s="1" t="s">
        <v>13</v>
      </c>
      <c r="C27" s="1" t="s">
        <v>39</v>
      </c>
      <c r="D27" s="6">
        <v>1440</v>
      </c>
      <c r="E27" s="6">
        <f t="shared" si="3"/>
        <v>1290.5471968702527</v>
      </c>
      <c r="F27" s="6">
        <f t="shared" si="3"/>
        <v>128.44282940423335</v>
      </c>
      <c r="G27" s="6">
        <f t="shared" si="3"/>
        <v>13.864999678704555</v>
      </c>
      <c r="H27" s="6">
        <f t="shared" si="3"/>
        <v>0.32976803292966722</v>
      </c>
      <c r="I27" s="6">
        <f t="shared" si="3"/>
        <v>3.7373710398695619</v>
      </c>
      <c r="J27" s="6">
        <f t="shared" si="3"/>
        <v>3.0778349740102273</v>
      </c>
      <c r="K27" s="6">
        <f t="shared" si="5"/>
        <v>1440.0000000000002</v>
      </c>
      <c r="L27" s="6">
        <f t="shared" si="4"/>
        <v>0</v>
      </c>
    </row>
    <row r="28" spans="1:12" x14ac:dyDescent="0.2">
      <c r="A28" s="1">
        <v>5315</v>
      </c>
      <c r="B28" s="1" t="s">
        <v>16</v>
      </c>
      <c r="C28" s="1" t="s">
        <v>48</v>
      </c>
      <c r="D28" s="6">
        <v>1000.0000000000001</v>
      </c>
      <c r="E28" s="6">
        <f t="shared" si="3"/>
        <v>896.21333115989785</v>
      </c>
      <c r="F28" s="6">
        <f t="shared" si="3"/>
        <v>89.196409308495376</v>
      </c>
      <c r="G28" s="6">
        <f t="shared" si="3"/>
        <v>9.6284719991003858</v>
      </c>
      <c r="H28" s="6">
        <f t="shared" si="3"/>
        <v>0.22900557842338004</v>
      </c>
      <c r="I28" s="6">
        <f t="shared" si="3"/>
        <v>2.5953965554649741</v>
      </c>
      <c r="J28" s="6">
        <f t="shared" si="3"/>
        <v>2.1373853986182136</v>
      </c>
      <c r="K28" s="6">
        <f t="shared" si="5"/>
        <v>1000.0000000000002</v>
      </c>
      <c r="L28" s="6">
        <f t="shared" si="4"/>
        <v>0</v>
      </c>
    </row>
    <row r="29" spans="1:12" x14ac:dyDescent="0.2">
      <c r="A29" s="1">
        <v>5315</v>
      </c>
      <c r="B29" s="1" t="s">
        <v>15</v>
      </c>
      <c r="C29" s="1" t="s">
        <v>40</v>
      </c>
      <c r="D29" s="6">
        <v>750</v>
      </c>
      <c r="E29" s="6">
        <f t="shared" si="3"/>
        <v>672.15999836992319</v>
      </c>
      <c r="F29" s="6">
        <f t="shared" si="3"/>
        <v>66.897306981371528</v>
      </c>
      <c r="G29" s="6">
        <f t="shared" si="3"/>
        <v>7.221353999325288</v>
      </c>
      <c r="H29" s="6">
        <f t="shared" si="3"/>
        <v>0.17175418381753502</v>
      </c>
      <c r="I29" s="6">
        <f t="shared" si="3"/>
        <v>1.94654741659873</v>
      </c>
      <c r="J29" s="6">
        <f t="shared" si="3"/>
        <v>1.6030390489636601</v>
      </c>
      <c r="K29" s="6">
        <f t="shared" si="5"/>
        <v>749.99999999999989</v>
      </c>
      <c r="L29" s="6">
        <f t="shared" si="4"/>
        <v>0</v>
      </c>
    </row>
    <row r="30" spans="1:12" x14ac:dyDescent="0.2">
      <c r="A30" s="1">
        <v>5315</v>
      </c>
      <c r="B30" s="1" t="s">
        <v>49</v>
      </c>
      <c r="C30" s="1" t="s">
        <v>28</v>
      </c>
      <c r="D30" s="6">
        <v>0</v>
      </c>
      <c r="E30" s="6">
        <f t="shared" si="3"/>
        <v>0</v>
      </c>
      <c r="F30" s="6">
        <f t="shared" si="3"/>
        <v>0</v>
      </c>
      <c r="G30" s="6">
        <f t="shared" si="3"/>
        <v>0</v>
      </c>
      <c r="H30" s="6">
        <f t="shared" si="3"/>
        <v>0</v>
      </c>
      <c r="I30" s="6">
        <f t="shared" si="3"/>
        <v>0</v>
      </c>
      <c r="J30" s="6">
        <f t="shared" si="3"/>
        <v>0</v>
      </c>
      <c r="K30" s="6">
        <f t="shared" si="5"/>
        <v>0</v>
      </c>
      <c r="L30" s="6">
        <f t="shared" si="4"/>
        <v>0</v>
      </c>
    </row>
    <row r="31" spans="1:12" x14ac:dyDescent="0.2">
      <c r="A31" s="1">
        <v>5315</v>
      </c>
      <c r="B31" s="1" t="s">
        <v>9</v>
      </c>
      <c r="C31" s="1" t="s">
        <v>50</v>
      </c>
      <c r="D31" s="6">
        <v>254515.9898990567</v>
      </c>
      <c r="E31" s="6">
        <f>+$D31*E$7/SUM($E$7:$J$7)</f>
        <v>228100.62314089248</v>
      </c>
      <c r="F31" s="6">
        <f t="shared" si="3"/>
        <v>22701.912410593133</v>
      </c>
      <c r="G31" s="6">
        <f t="shared" si="3"/>
        <v>2450.6000820663835</v>
      </c>
      <c r="H31" s="6">
        <f t="shared" si="3"/>
        <v>58.285581484832619</v>
      </c>
      <c r="I31" s="6">
        <f t="shared" si="3"/>
        <v>660.56992349476968</v>
      </c>
      <c r="J31" s="6">
        <f t="shared" si="3"/>
        <v>543.99876052510444</v>
      </c>
      <c r="K31" s="6">
        <f t="shared" si="5"/>
        <v>254515.9898990567</v>
      </c>
      <c r="L31" s="6">
        <f t="shared" si="4"/>
        <v>0</v>
      </c>
    </row>
    <row r="32" spans="1:12" x14ac:dyDescent="0.2">
      <c r="A32" s="1">
        <v>5315</v>
      </c>
      <c r="B32" s="1" t="s">
        <v>7</v>
      </c>
      <c r="C32" s="1" t="s">
        <v>51</v>
      </c>
      <c r="D32" s="6">
        <v>44473.760240000011</v>
      </c>
      <c r="E32" s="6">
        <f t="shared" ref="E32:J33" si="6">+$D32*E$7/SUM($E$7:$J$7)</f>
        <v>39857.976813897018</v>
      </c>
      <c r="F32" s="6">
        <f t="shared" si="6"/>
        <v>3966.8997218549284</v>
      </c>
      <c r="G32" s="6">
        <f t="shared" si="6"/>
        <v>428.21435516554408</v>
      </c>
      <c r="H32" s="6">
        <f t="shared" si="6"/>
        <v>10.184739188423922</v>
      </c>
      <c r="I32" s="6">
        <f t="shared" si="6"/>
        <v>115.42704413547111</v>
      </c>
      <c r="J32" s="6">
        <f t="shared" si="6"/>
        <v>95.057565758623269</v>
      </c>
      <c r="K32" s="6">
        <f t="shared" si="5"/>
        <v>44473.760240000011</v>
      </c>
      <c r="L32" s="6">
        <f t="shared" si="4"/>
        <v>0</v>
      </c>
    </row>
    <row r="33" spans="1:12" x14ac:dyDescent="0.2">
      <c r="A33" s="1">
        <v>5315</v>
      </c>
      <c r="B33" s="1" t="s">
        <v>52</v>
      </c>
      <c r="C33" s="1" t="s">
        <v>53</v>
      </c>
      <c r="D33" s="6">
        <v>600</v>
      </c>
      <c r="E33" s="6">
        <f t="shared" si="6"/>
        <v>537.7279986959386</v>
      </c>
      <c r="F33" s="6">
        <f t="shared" si="6"/>
        <v>53.51784558509722</v>
      </c>
      <c r="G33" s="6">
        <f t="shared" si="6"/>
        <v>5.7770831994602307</v>
      </c>
      <c r="H33" s="6">
        <f t="shared" si="6"/>
        <v>0.13740334705402801</v>
      </c>
      <c r="I33" s="6">
        <f t="shared" si="6"/>
        <v>1.5572379332789841</v>
      </c>
      <c r="J33" s="6">
        <f t="shared" si="6"/>
        <v>1.2824312391709281</v>
      </c>
      <c r="K33" s="6">
        <f t="shared" si="2"/>
        <v>600</v>
      </c>
      <c r="L33" s="6">
        <f t="shared" si="4"/>
        <v>0</v>
      </c>
    </row>
    <row r="34" spans="1:12" x14ac:dyDescent="0.2">
      <c r="K34" s="6">
        <f t="shared" si="2"/>
        <v>0</v>
      </c>
      <c r="L34" s="6">
        <f t="shared" si="4"/>
        <v>0</v>
      </c>
    </row>
    <row r="35" spans="1:12" x14ac:dyDescent="0.2">
      <c r="A35" s="1">
        <v>5315</v>
      </c>
      <c r="B35" s="1" t="s">
        <v>82</v>
      </c>
      <c r="D35" s="6">
        <v>10713.725600000002</v>
      </c>
      <c r="E35" s="6">
        <f t="shared" ref="E35:J35" si="7">+$D35*E$7/SUM($E$7:$J$7)</f>
        <v>9601.7837091090751</v>
      </c>
      <c r="F35" s="6">
        <f t="shared" si="7"/>
        <v>955.62585383650526</v>
      </c>
      <c r="G35" s="6">
        <f t="shared" si="7"/>
        <v>103.15680694564497</v>
      </c>
      <c r="H35" s="6">
        <f t="shared" si="7"/>
        <v>2.4535029280973744</v>
      </c>
      <c r="I35" s="6">
        <f t="shared" si="7"/>
        <v>27.80636651843691</v>
      </c>
      <c r="J35" s="6">
        <f t="shared" si="7"/>
        <v>22.899360662242159</v>
      </c>
      <c r="K35" s="6">
        <f t="shared" ref="K35:K43" si="8">SUM(E35:J35)</f>
        <v>10713.725600000002</v>
      </c>
      <c r="L35" s="6">
        <f t="shared" si="4"/>
        <v>0</v>
      </c>
    </row>
    <row r="36" spans="1:12" s="2" customFormat="1" ht="15.75" thickBot="1" x14ac:dyDescent="0.3">
      <c r="A36" s="2" t="s">
        <v>84</v>
      </c>
      <c r="D36" s="7"/>
      <c r="E36" s="8">
        <f>SUM(E14:E35)</f>
        <v>387938.4758757386</v>
      </c>
      <c r="F36" s="8">
        <f t="shared" ref="F36:K36" si="9">SUM(F14:F35)</f>
        <v>38609.913374020769</v>
      </c>
      <c r="G36" s="8">
        <f t="shared" si="9"/>
        <v>80533.73098468942</v>
      </c>
      <c r="H36" s="8">
        <f t="shared" si="9"/>
        <v>580.74533469041125</v>
      </c>
      <c r="I36" s="8">
        <f t="shared" si="9"/>
        <v>1415.113793157994</v>
      </c>
      <c r="J36" s="8">
        <f t="shared" si="9"/>
        <v>1253.6231237771713</v>
      </c>
      <c r="K36" s="8">
        <f t="shared" si="9"/>
        <v>510331.60248607449</v>
      </c>
    </row>
    <row r="38" spans="1:12" x14ac:dyDescent="0.2">
      <c r="A38" s="1">
        <v>53200</v>
      </c>
      <c r="B38" s="1" t="s">
        <v>77</v>
      </c>
      <c r="C38" s="1" t="s">
        <v>80</v>
      </c>
      <c r="D38" s="6">
        <v>32923.370319076028</v>
      </c>
      <c r="G38" s="12">
        <f>+D38-300</f>
        <v>32623.370319076028</v>
      </c>
      <c r="H38" s="12">
        <v>100</v>
      </c>
      <c r="I38" s="12">
        <v>100</v>
      </c>
      <c r="J38" s="12">
        <v>100</v>
      </c>
      <c r="K38" s="6">
        <f t="shared" ref="K38" si="10">SUM(E38:J38)</f>
        <v>32923.370319076028</v>
      </c>
      <c r="L38" s="6">
        <f t="shared" ref="L38:L43" si="11">+D38-K38</f>
        <v>0</v>
      </c>
    </row>
    <row r="39" spans="1:12" x14ac:dyDescent="0.2">
      <c r="C39" s="1" t="s">
        <v>81</v>
      </c>
      <c r="D39" s="6">
        <v>34633.029656124316</v>
      </c>
      <c r="E39" s="6">
        <f>$D39*E7/SUM($E$7:$F$7)</f>
        <v>31498.149045615464</v>
      </c>
      <c r="F39" s="6">
        <f>$D39*F7/SUM($E$7:$F$7)</f>
        <v>3134.8806105088497</v>
      </c>
      <c r="K39" s="6">
        <f t="shared" si="8"/>
        <v>34633.029656124316</v>
      </c>
      <c r="L39" s="6">
        <f t="shared" si="11"/>
        <v>0</v>
      </c>
    </row>
    <row r="40" spans="1:12" x14ac:dyDescent="0.2">
      <c r="C40" s="1" t="s">
        <v>31</v>
      </c>
      <c r="D40" s="6">
        <v>40389.641027614794</v>
      </c>
      <c r="E40" s="6">
        <f>$D40*E7/SUM($E$7:$F$7)</f>
        <v>36733.688782602578</v>
      </c>
      <c r="F40" s="6">
        <f>$D40*F7/SUM($E$7:$F$7)</f>
        <v>3655.9522450122163</v>
      </c>
      <c r="K40" s="6">
        <f t="shared" si="8"/>
        <v>40389.641027614794</v>
      </c>
      <c r="L40" s="6">
        <f t="shared" si="11"/>
        <v>0</v>
      </c>
    </row>
    <row r="41" spans="1:12" x14ac:dyDescent="0.2">
      <c r="C41" s="1" t="s">
        <v>83</v>
      </c>
      <c r="D41" s="6">
        <v>14518.704203674477</v>
      </c>
      <c r="E41" s="6">
        <f>$D41*E7/SUM($E$7:$F$7)</f>
        <v>13204.513538008472</v>
      </c>
      <c r="F41" s="6">
        <f>$D41*F7/SUM($E$7:$F$7)</f>
        <v>1314.190665666003</v>
      </c>
      <c r="K41" s="6">
        <f t="shared" si="8"/>
        <v>14518.704203674475</v>
      </c>
      <c r="L41" s="6">
        <f t="shared" si="11"/>
        <v>0</v>
      </c>
    </row>
    <row r="42" spans="1:12" x14ac:dyDescent="0.2">
      <c r="C42" s="1" t="s">
        <v>36</v>
      </c>
      <c r="D42" s="6">
        <v>3150.9461692970881</v>
      </c>
      <c r="E42" s="6">
        <f>$D42*E7/SUM($E$7:$F$7)</f>
        <v>2865.7317324151609</v>
      </c>
      <c r="F42" s="6">
        <f>$D42*F7/SUM($E$7:$F$7)</f>
        <v>285.2144368819271</v>
      </c>
      <c r="K42" s="6">
        <f t="shared" si="8"/>
        <v>3150.9461692970881</v>
      </c>
      <c r="L42" s="6">
        <f t="shared" si="11"/>
        <v>0</v>
      </c>
    </row>
    <row r="43" spans="1:12" x14ac:dyDescent="0.2">
      <c r="C43" s="1" t="s">
        <v>55</v>
      </c>
      <c r="D43" s="6">
        <v>12958.848293299998</v>
      </c>
      <c r="E43" s="6">
        <f>$D43*E7/SUM($E$7:$G$7)</f>
        <v>11671.805616524056</v>
      </c>
      <c r="F43" s="6">
        <f>$D43*F7/SUM($E$7:$G$7)</f>
        <v>1161.646580053974</v>
      </c>
      <c r="G43" s="6">
        <f>$D43*G7/SUM($E$7:$G$7)</f>
        <v>125.39609672196887</v>
      </c>
      <c r="K43" s="6">
        <f t="shared" si="8"/>
        <v>12958.848293299998</v>
      </c>
      <c r="L43" s="6">
        <f t="shared" si="11"/>
        <v>0</v>
      </c>
    </row>
    <row r="44" spans="1:12" ht="15" thickBot="1" x14ac:dyDescent="0.25">
      <c r="D44" s="11">
        <f>SUM(D38:D43)</f>
        <v>138574.53966908672</v>
      </c>
    </row>
    <row r="45" spans="1:12" x14ac:dyDescent="0.2">
      <c r="K45" s="6">
        <f t="shared" ref="K45:K49" si="12">SUM(E45:J45)</f>
        <v>0</v>
      </c>
      <c r="L45" s="6">
        <f t="shared" ref="L45:L64" si="13">+D45-K45</f>
        <v>0</v>
      </c>
    </row>
    <row r="46" spans="1:12" x14ac:dyDescent="0.2">
      <c r="B46" s="1" t="s">
        <v>21</v>
      </c>
      <c r="C46" s="1" t="s">
        <v>32</v>
      </c>
      <c r="D46" s="6">
        <v>2380</v>
      </c>
      <c r="E46" s="6">
        <f>$D46*E7/SUM($E$7:$G$7)</f>
        <v>2143.6239346740044</v>
      </c>
      <c r="F46" s="6">
        <f>$D46*F7/SUM($E$7:$G$7)</f>
        <v>213.3460318350881</v>
      </c>
      <c r="G46" s="6">
        <f>$D46*G7/SUM($E$7:$G$7)</f>
        <v>23.030033490907304</v>
      </c>
      <c r="K46" s="6">
        <f t="shared" si="12"/>
        <v>2380</v>
      </c>
      <c r="L46" s="6">
        <f t="shared" si="13"/>
        <v>0</v>
      </c>
    </row>
    <row r="47" spans="1:12" x14ac:dyDescent="0.2">
      <c r="B47" s="1" t="s">
        <v>56</v>
      </c>
      <c r="C47" s="1" t="s">
        <v>32</v>
      </c>
      <c r="D47" s="6">
        <v>0</v>
      </c>
      <c r="K47" s="6">
        <f t="shared" si="12"/>
        <v>0</v>
      </c>
      <c r="L47" s="6">
        <f t="shared" si="13"/>
        <v>0</v>
      </c>
    </row>
    <row r="48" spans="1:12" x14ac:dyDescent="0.2">
      <c r="B48" s="1" t="s">
        <v>57</v>
      </c>
      <c r="C48" s="1" t="s">
        <v>58</v>
      </c>
      <c r="D48" s="6">
        <v>0</v>
      </c>
      <c r="K48" s="6">
        <f t="shared" si="12"/>
        <v>0</v>
      </c>
      <c r="L48" s="6">
        <f t="shared" si="13"/>
        <v>0</v>
      </c>
    </row>
    <row r="49" spans="2:12" x14ac:dyDescent="0.2">
      <c r="B49" s="1" t="s">
        <v>24</v>
      </c>
      <c r="C49" s="1" t="s">
        <v>19</v>
      </c>
      <c r="D49" s="6">
        <v>5122.4399999999996</v>
      </c>
      <c r="E49" s="6">
        <f t="shared" ref="E49:J58" si="14">+$D49*E$7/SUM($E$7:$J$7)</f>
        <v>4590.7990160667059</v>
      </c>
      <c r="F49" s="6">
        <f t="shared" si="14"/>
        <v>456.90325489820896</v>
      </c>
      <c r="G49" s="6">
        <f t="shared" si="14"/>
        <v>49.321270107071761</v>
      </c>
      <c r="H49" s="6">
        <f t="shared" si="14"/>
        <v>1.1730673351390586</v>
      </c>
      <c r="I49" s="6">
        <f t="shared" si="14"/>
        <v>13.294763131575998</v>
      </c>
      <c r="J49" s="6">
        <f t="shared" si="14"/>
        <v>10.948628461297879</v>
      </c>
      <c r="K49" s="6">
        <f t="shared" si="12"/>
        <v>5122.4399999999987</v>
      </c>
      <c r="L49" s="6">
        <f t="shared" si="13"/>
        <v>0</v>
      </c>
    </row>
    <row r="50" spans="2:12" x14ac:dyDescent="0.2">
      <c r="B50" s="1" t="s">
        <v>23</v>
      </c>
      <c r="C50" s="1" t="s">
        <v>41</v>
      </c>
      <c r="D50" s="6">
        <v>1683.8760000000004</v>
      </c>
      <c r="E50" s="6">
        <f t="shared" si="14"/>
        <v>1509.1121192202042</v>
      </c>
      <c r="F50" s="6">
        <f t="shared" si="14"/>
        <v>150.19569292075198</v>
      </c>
      <c r="G50" s="6">
        <f t="shared" si="14"/>
        <v>16.21315291595716</v>
      </c>
      <c r="H50" s="6">
        <f t="shared" si="14"/>
        <v>0.38561699737324756</v>
      </c>
      <c r="I50" s="6">
        <f t="shared" si="14"/>
        <v>4.3703259702301382</v>
      </c>
      <c r="J50" s="6">
        <f t="shared" si="14"/>
        <v>3.5990919754836437</v>
      </c>
      <c r="K50" s="6">
        <f t="shared" ref="K50:K54" si="15">SUM(E50:J50)</f>
        <v>1683.8760000000004</v>
      </c>
      <c r="L50" s="6">
        <f t="shared" si="13"/>
        <v>0</v>
      </c>
    </row>
    <row r="51" spans="2:12" x14ac:dyDescent="0.2">
      <c r="B51" s="1" t="s">
        <v>27</v>
      </c>
      <c r="C51" s="1" t="s">
        <v>43</v>
      </c>
      <c r="D51" s="6">
        <v>6034.2106599999997</v>
      </c>
      <c r="E51" s="6">
        <f t="shared" si="14"/>
        <v>5407.9400365191641</v>
      </c>
      <c r="F51" s="6">
        <f t="shared" si="14"/>
        <v>538.22992388304601</v>
      </c>
      <c r="G51" s="6">
        <f t="shared" si="14"/>
        <v>58.100228376483045</v>
      </c>
      <c r="H51" s="6">
        <f t="shared" si="14"/>
        <v>1.3818679025218255</v>
      </c>
      <c r="I51" s="6">
        <f t="shared" si="14"/>
        <v>15.661169561914022</v>
      </c>
      <c r="J51" s="6">
        <f t="shared" si="14"/>
        <v>12.897433756870372</v>
      </c>
      <c r="K51" s="6">
        <f t="shared" si="15"/>
        <v>6034.2106599999997</v>
      </c>
      <c r="L51" s="6">
        <f t="shared" si="13"/>
        <v>0</v>
      </c>
    </row>
    <row r="52" spans="2:12" x14ac:dyDescent="0.2">
      <c r="B52" s="1" t="s">
        <v>59</v>
      </c>
      <c r="C52" s="1" t="s">
        <v>44</v>
      </c>
      <c r="D52" s="6">
        <v>0</v>
      </c>
      <c r="E52" s="6">
        <f t="shared" si="14"/>
        <v>0</v>
      </c>
      <c r="F52" s="6">
        <f t="shared" si="14"/>
        <v>0</v>
      </c>
      <c r="G52" s="6">
        <f t="shared" si="14"/>
        <v>0</v>
      </c>
      <c r="H52" s="6">
        <f t="shared" si="14"/>
        <v>0</v>
      </c>
      <c r="I52" s="6">
        <f t="shared" si="14"/>
        <v>0</v>
      </c>
      <c r="J52" s="6">
        <f t="shared" si="14"/>
        <v>0</v>
      </c>
      <c r="K52" s="6">
        <f t="shared" si="15"/>
        <v>0</v>
      </c>
      <c r="L52" s="6">
        <f t="shared" si="13"/>
        <v>0</v>
      </c>
    </row>
    <row r="53" spans="2:12" x14ac:dyDescent="0.2">
      <c r="B53" s="1" t="s">
        <v>60</v>
      </c>
      <c r="C53" s="1" t="s">
        <v>44</v>
      </c>
      <c r="D53" s="6">
        <v>0</v>
      </c>
      <c r="E53" s="6">
        <f t="shared" si="14"/>
        <v>0</v>
      </c>
      <c r="F53" s="6">
        <f t="shared" si="14"/>
        <v>0</v>
      </c>
      <c r="G53" s="6">
        <f t="shared" si="14"/>
        <v>0</v>
      </c>
      <c r="H53" s="6">
        <f t="shared" si="14"/>
        <v>0</v>
      </c>
      <c r="I53" s="6">
        <f t="shared" si="14"/>
        <v>0</v>
      </c>
      <c r="J53" s="6">
        <f t="shared" si="14"/>
        <v>0</v>
      </c>
      <c r="K53" s="6">
        <f t="shared" si="15"/>
        <v>0</v>
      </c>
      <c r="L53" s="6">
        <f t="shared" si="13"/>
        <v>0</v>
      </c>
    </row>
    <row r="54" spans="2:12" x14ac:dyDescent="0.2">
      <c r="B54" s="1" t="s">
        <v>61</v>
      </c>
      <c r="C54" s="1" t="s">
        <v>33</v>
      </c>
      <c r="D54" s="6">
        <v>1500</v>
      </c>
      <c r="E54" s="6">
        <f t="shared" si="14"/>
        <v>1344.3199967398464</v>
      </c>
      <c r="F54" s="6">
        <f t="shared" si="14"/>
        <v>133.79461396274306</v>
      </c>
      <c r="G54" s="6">
        <f t="shared" si="14"/>
        <v>14.442707998650576</v>
      </c>
      <c r="H54" s="6">
        <f t="shared" si="14"/>
        <v>0.34350836763507003</v>
      </c>
      <c r="I54" s="6">
        <f t="shared" si="14"/>
        <v>3.89309483319746</v>
      </c>
      <c r="J54" s="6">
        <f t="shared" si="14"/>
        <v>3.2060780979273202</v>
      </c>
      <c r="K54" s="6">
        <f t="shared" si="15"/>
        <v>1499.9999999999998</v>
      </c>
      <c r="L54" s="6">
        <f t="shared" si="13"/>
        <v>0</v>
      </c>
    </row>
    <row r="55" spans="2:12" x14ac:dyDescent="0.2">
      <c r="B55" s="1" t="s">
        <v>62</v>
      </c>
      <c r="C55" s="1" t="s">
        <v>39</v>
      </c>
      <c r="D55" s="6">
        <v>120</v>
      </c>
      <c r="E55" s="6">
        <f t="shared" si="14"/>
        <v>107.54559973918772</v>
      </c>
      <c r="F55" s="6">
        <f t="shared" si="14"/>
        <v>10.703569117019445</v>
      </c>
      <c r="G55" s="6">
        <f t="shared" si="14"/>
        <v>1.155416639892046</v>
      </c>
      <c r="H55" s="6">
        <f t="shared" si="14"/>
        <v>2.7480669410805601E-2</v>
      </c>
      <c r="I55" s="6">
        <f t="shared" si="14"/>
        <v>0.3114475866557968</v>
      </c>
      <c r="J55" s="6">
        <f t="shared" si="14"/>
        <v>0.25648624783418561</v>
      </c>
      <c r="K55" s="6">
        <f t="shared" ref="K55:K64" si="16">SUM(E55:J55)</f>
        <v>120.00000000000001</v>
      </c>
      <c r="L55" s="6">
        <f t="shared" si="13"/>
        <v>0</v>
      </c>
    </row>
    <row r="56" spans="2:12" x14ac:dyDescent="0.2">
      <c r="B56" s="1" t="s">
        <v>63</v>
      </c>
      <c r="C56" s="1" t="s">
        <v>64</v>
      </c>
      <c r="D56" s="6">
        <v>0</v>
      </c>
      <c r="E56" s="6">
        <f t="shared" si="14"/>
        <v>0</v>
      </c>
      <c r="F56" s="6">
        <f t="shared" si="14"/>
        <v>0</v>
      </c>
      <c r="G56" s="6">
        <f t="shared" si="14"/>
        <v>0</v>
      </c>
      <c r="H56" s="6">
        <f t="shared" si="14"/>
        <v>0</v>
      </c>
      <c r="I56" s="6">
        <f t="shared" si="14"/>
        <v>0</v>
      </c>
      <c r="J56" s="6">
        <f t="shared" si="14"/>
        <v>0</v>
      </c>
      <c r="K56" s="6">
        <f t="shared" si="16"/>
        <v>0</v>
      </c>
      <c r="L56" s="6">
        <f t="shared" si="13"/>
        <v>0</v>
      </c>
    </row>
    <row r="57" spans="2:12" x14ac:dyDescent="0.2">
      <c r="B57" s="1" t="s">
        <v>65</v>
      </c>
      <c r="C57" s="1" t="s">
        <v>40</v>
      </c>
      <c r="D57" s="6">
        <v>75</v>
      </c>
      <c r="E57" s="6">
        <f t="shared" si="14"/>
        <v>67.215999836992324</v>
      </c>
      <c r="F57" s="6">
        <f t="shared" si="14"/>
        <v>6.6897306981371525</v>
      </c>
      <c r="G57" s="6">
        <f t="shared" si="14"/>
        <v>0.72213539993252884</v>
      </c>
      <c r="H57" s="6">
        <f t="shared" si="14"/>
        <v>1.7175418381753502E-2</v>
      </c>
      <c r="I57" s="6">
        <f t="shared" si="14"/>
        <v>0.19465474165987301</v>
      </c>
      <c r="J57" s="6">
        <f t="shared" si="14"/>
        <v>0.16030390489636601</v>
      </c>
      <c r="K57" s="6">
        <f t="shared" si="16"/>
        <v>75</v>
      </c>
      <c r="L57" s="6">
        <f t="shared" si="13"/>
        <v>0</v>
      </c>
    </row>
    <row r="58" spans="2:12" x14ac:dyDescent="0.2">
      <c r="B58" s="1" t="s">
        <v>22</v>
      </c>
      <c r="C58" s="1" t="s">
        <v>66</v>
      </c>
      <c r="D58" s="6">
        <v>31195.800000000007</v>
      </c>
      <c r="E58" s="6">
        <f t="shared" si="14"/>
        <v>27958.091836197942</v>
      </c>
      <c r="F58" s="6">
        <f t="shared" si="14"/>
        <v>2782.5533455059604</v>
      </c>
      <c r="G58" s="6">
        <f t="shared" si="14"/>
        <v>300.36788678953582</v>
      </c>
      <c r="H58" s="6">
        <f t="shared" si="14"/>
        <v>7.1440122233800798</v>
      </c>
      <c r="I58" s="6">
        <f t="shared" si="14"/>
        <v>80.965471864974234</v>
      </c>
      <c r="J58" s="6">
        <f t="shared" si="14"/>
        <v>66.677447418214072</v>
      </c>
      <c r="K58" s="6">
        <f t="shared" si="16"/>
        <v>31195.800000000003</v>
      </c>
      <c r="L58" s="6">
        <f t="shared" si="13"/>
        <v>0</v>
      </c>
    </row>
    <row r="59" spans="2:12" x14ac:dyDescent="0.2">
      <c r="B59" s="1" t="s">
        <v>67</v>
      </c>
      <c r="C59" s="1" t="s">
        <v>68</v>
      </c>
      <c r="D59" s="6">
        <v>0</v>
      </c>
      <c r="E59" s="6">
        <f t="shared" ref="E59:J64" si="17">+$D59*E$7/SUM($E$7:$J$7)</f>
        <v>0</v>
      </c>
      <c r="F59" s="6">
        <f t="shared" si="17"/>
        <v>0</v>
      </c>
      <c r="G59" s="6">
        <f t="shared" si="17"/>
        <v>0</v>
      </c>
      <c r="H59" s="6">
        <f t="shared" si="17"/>
        <v>0</v>
      </c>
      <c r="I59" s="6">
        <f t="shared" si="17"/>
        <v>0</v>
      </c>
      <c r="J59" s="6">
        <f t="shared" si="17"/>
        <v>0</v>
      </c>
      <c r="K59" s="6">
        <f t="shared" si="16"/>
        <v>0</v>
      </c>
      <c r="L59" s="6">
        <f t="shared" si="13"/>
        <v>0</v>
      </c>
    </row>
    <row r="60" spans="2:12" x14ac:dyDescent="0.2">
      <c r="B60" s="1" t="s">
        <v>25</v>
      </c>
      <c r="C60" s="1" t="s">
        <v>69</v>
      </c>
      <c r="D60" s="6">
        <v>16295.945709717</v>
      </c>
      <c r="E60" s="6">
        <f t="shared" si="17"/>
        <v>14604.643788906315</v>
      </c>
      <c r="F60" s="6">
        <f t="shared" si="17"/>
        <v>1453.5398435929367</v>
      </c>
      <c r="G60" s="6">
        <f t="shared" si="17"/>
        <v>156.90505696487017</v>
      </c>
      <c r="H60" s="6">
        <f t="shared" si="17"/>
        <v>3.7318624732097394</v>
      </c>
      <c r="I60" s="6">
        <f t="shared" si="17"/>
        <v>42.294441363043717</v>
      </c>
      <c r="J60" s="6">
        <f t="shared" si="17"/>
        <v>34.830716416624234</v>
      </c>
      <c r="K60" s="6">
        <f t="shared" si="16"/>
        <v>16295.945709716998</v>
      </c>
      <c r="L60" s="6">
        <f t="shared" si="13"/>
        <v>0</v>
      </c>
    </row>
    <row r="61" spans="2:12" x14ac:dyDescent="0.2">
      <c r="B61" s="1" t="s">
        <v>70</v>
      </c>
      <c r="C61" s="1" t="s">
        <v>71</v>
      </c>
      <c r="D61" s="6">
        <v>2500</v>
      </c>
      <c r="E61" s="6">
        <f t="shared" si="17"/>
        <v>2240.5333278997441</v>
      </c>
      <c r="F61" s="6">
        <f t="shared" si="17"/>
        <v>222.99102327123842</v>
      </c>
      <c r="G61" s="6">
        <f t="shared" si="17"/>
        <v>24.071179997750964</v>
      </c>
      <c r="H61" s="6">
        <f t="shared" si="17"/>
        <v>0.57251394605844996</v>
      </c>
      <c r="I61" s="6">
        <f t="shared" si="17"/>
        <v>6.4884913886624336</v>
      </c>
      <c r="J61" s="6">
        <f t="shared" si="17"/>
        <v>5.3434634965455334</v>
      </c>
      <c r="K61" s="6">
        <f t="shared" si="16"/>
        <v>2500</v>
      </c>
      <c r="L61" s="6">
        <f t="shared" si="13"/>
        <v>0</v>
      </c>
    </row>
    <row r="62" spans="2:12" x14ac:dyDescent="0.2">
      <c r="B62" s="1" t="s">
        <v>20</v>
      </c>
      <c r="C62" s="1" t="s">
        <v>72</v>
      </c>
      <c r="D62" s="6">
        <v>6759.0066719999995</v>
      </c>
      <c r="E62" s="6">
        <f t="shared" si="17"/>
        <v>6057.5118848450938</v>
      </c>
      <c r="F62" s="6">
        <f t="shared" si="17"/>
        <v>602.87912563456302</v>
      </c>
      <c r="G62" s="6">
        <f t="shared" si="17"/>
        <v>65.078906483084666</v>
      </c>
      <c r="H62" s="6">
        <f t="shared" si="17"/>
        <v>1.5478502324888446</v>
      </c>
      <c r="I62" s="6">
        <f t="shared" si="17"/>
        <v>17.542302634873572</v>
      </c>
      <c r="J62" s="6">
        <f t="shared" si="17"/>
        <v>14.446602169895881</v>
      </c>
      <c r="K62" s="6">
        <f t="shared" si="16"/>
        <v>6759.0066720000004</v>
      </c>
      <c r="L62" s="6">
        <f t="shared" si="13"/>
        <v>0</v>
      </c>
    </row>
    <row r="63" spans="2:12" x14ac:dyDescent="0.2">
      <c r="B63" s="1" t="s">
        <v>73</v>
      </c>
      <c r="C63" s="1" t="s">
        <v>54</v>
      </c>
      <c r="D63" s="6">
        <v>0</v>
      </c>
      <c r="E63" s="6">
        <f t="shared" si="17"/>
        <v>0</v>
      </c>
      <c r="F63" s="6">
        <f t="shared" si="17"/>
        <v>0</v>
      </c>
      <c r="G63" s="6">
        <f t="shared" si="17"/>
        <v>0</v>
      </c>
      <c r="H63" s="6">
        <f t="shared" si="17"/>
        <v>0</v>
      </c>
      <c r="I63" s="6">
        <f t="shared" si="17"/>
        <v>0</v>
      </c>
      <c r="J63" s="6">
        <f t="shared" si="17"/>
        <v>0</v>
      </c>
      <c r="K63" s="6">
        <f t="shared" si="16"/>
        <v>0</v>
      </c>
      <c r="L63" s="6">
        <f t="shared" si="13"/>
        <v>0</v>
      </c>
    </row>
    <row r="64" spans="2:12" x14ac:dyDescent="0.2">
      <c r="B64" s="1" t="s">
        <v>26</v>
      </c>
      <c r="C64" s="1" t="s">
        <v>74</v>
      </c>
      <c r="D64" s="6">
        <v>23334.650000000009</v>
      </c>
      <c r="E64" s="6">
        <f t="shared" si="17"/>
        <v>20912.824407950313</v>
      </c>
      <c r="F64" s="6">
        <f t="shared" si="17"/>
        <v>2081.3669924704823</v>
      </c>
      <c r="G64" s="6">
        <f t="shared" si="17"/>
        <v>224.67702413380786</v>
      </c>
      <c r="H64" s="6">
        <f t="shared" si="17"/>
        <v>5.3437650205571261</v>
      </c>
      <c r="I64" s="6">
        <f t="shared" si="17"/>
        <v>60.562670232980764</v>
      </c>
      <c r="J64" s="6">
        <f t="shared" si="17"/>
        <v>49.875140191866507</v>
      </c>
      <c r="K64" s="6">
        <f t="shared" si="16"/>
        <v>23334.650000000005</v>
      </c>
      <c r="L64" s="6">
        <f t="shared" si="13"/>
        <v>0</v>
      </c>
    </row>
    <row r="65" spans="1:12" s="2" customFormat="1" ht="15.75" thickBot="1" x14ac:dyDescent="0.3">
      <c r="A65" s="2" t="s">
        <v>84</v>
      </c>
      <c r="D65" s="7"/>
      <c r="E65" s="8">
        <f>SUM(E38:E64)</f>
        <v>182918.05066376121</v>
      </c>
      <c r="F65" s="8">
        <f t="shared" ref="F65:J65" si="18">SUM(F38:F64)</f>
        <v>18205.077685913144</v>
      </c>
      <c r="G65" s="8">
        <f t="shared" si="18"/>
        <v>33682.851415095938</v>
      </c>
      <c r="H65" s="8">
        <f t="shared" si="18"/>
        <v>121.66872058615598</v>
      </c>
      <c r="I65" s="8">
        <f t="shared" si="18"/>
        <v>345.57883330976802</v>
      </c>
      <c r="J65" s="8">
        <f t="shared" si="18"/>
        <v>302.24139213745593</v>
      </c>
      <c r="K65" s="8">
        <f>SUM(K38:K64)</f>
        <v>235575.46871080369</v>
      </c>
    </row>
    <row r="67" spans="1:12" x14ac:dyDescent="0.2">
      <c r="A67" s="1">
        <v>53400</v>
      </c>
      <c r="B67" s="1" t="s">
        <v>77</v>
      </c>
      <c r="C67" s="1" t="s">
        <v>83</v>
      </c>
      <c r="D67" s="6">
        <v>53942.880678914931</v>
      </c>
      <c r="E67" s="6">
        <f>$D67*E7/SUM($E$7:$F$7)</f>
        <v>49060.128797419646</v>
      </c>
      <c r="F67" s="6">
        <f>$D67*F7/SUM($E$7:$F$7)</f>
        <v>4882.7518814952809</v>
      </c>
      <c r="K67" s="6">
        <f t="shared" ref="K67" si="19">SUM(E67:J67)</f>
        <v>53942.880678914924</v>
      </c>
      <c r="L67" s="6">
        <f t="shared" ref="L67" si="20">+D67-K67</f>
        <v>0</v>
      </c>
    </row>
    <row r="68" spans="1:12" s="2" customFormat="1" ht="15.75" thickBot="1" x14ac:dyDescent="0.3">
      <c r="A68" s="2" t="s">
        <v>86</v>
      </c>
      <c r="D68" s="7"/>
      <c r="E68" s="8">
        <f t="shared" ref="E68" si="21">E67</f>
        <v>49060.128797419646</v>
      </c>
      <c r="F68" s="8">
        <f t="shared" ref="F68" si="22">F67</f>
        <v>4882.7518814952809</v>
      </c>
      <c r="G68" s="8">
        <f t="shared" ref="G68" si="23">G67</f>
        <v>0</v>
      </c>
      <c r="H68" s="8">
        <f t="shared" ref="H68" si="24">H67</f>
        <v>0</v>
      </c>
      <c r="I68" s="8">
        <f t="shared" ref="I68" si="25">I67</f>
        <v>0</v>
      </c>
      <c r="J68" s="8">
        <f t="shared" ref="J68" si="26">J67</f>
        <v>0</v>
      </c>
      <c r="K68" s="8">
        <f>K67</f>
        <v>53942.880678914924</v>
      </c>
      <c r="L68" s="6"/>
    </row>
    <row r="70" spans="1:12" s="2" customFormat="1" ht="15.75" thickBot="1" x14ac:dyDescent="0.3">
      <c r="A70" s="2" t="s">
        <v>85</v>
      </c>
      <c r="E70" s="8">
        <f t="shared" ref="E70:K70" si="27">SUMIF($A11:$A68,"Total*",E11:E68)</f>
        <v>741782.15942007606</v>
      </c>
      <c r="F70" s="8">
        <f t="shared" si="27"/>
        <v>73826.512961753717</v>
      </c>
      <c r="G70" s="8">
        <f t="shared" si="27"/>
        <v>115525.84499712066</v>
      </c>
      <c r="H70" s="8">
        <f t="shared" si="27"/>
        <v>733.55382890200644</v>
      </c>
      <c r="I70" s="8">
        <f t="shared" si="27"/>
        <v>2113.6100608894071</v>
      </c>
      <c r="J70" s="8">
        <f t="shared" si="27"/>
        <v>1846.5024030853938</v>
      </c>
      <c r="K70" s="8">
        <f t="shared" si="27"/>
        <v>935828.18367182743</v>
      </c>
      <c r="L70" s="6" t="s">
        <v>92</v>
      </c>
    </row>
    <row r="72" spans="1:12" x14ac:dyDescent="0.2">
      <c r="A72" s="1" t="s">
        <v>87</v>
      </c>
      <c r="E72" s="13">
        <f t="shared" ref="E72:J72" si="28">+E70/E7/12</f>
        <v>5.2651232870553217</v>
      </c>
      <c r="F72" s="13">
        <f t="shared" si="28"/>
        <v>5.2651232870553208</v>
      </c>
      <c r="G72" s="13">
        <f t="shared" si="28"/>
        <v>76.324741635730717</v>
      </c>
      <c r="H72" s="13">
        <f t="shared" si="28"/>
        <v>20.376495247277955</v>
      </c>
      <c r="I72" s="13">
        <f t="shared" si="28"/>
        <v>5.1804168159054091</v>
      </c>
      <c r="J72" s="13">
        <f t="shared" si="28"/>
        <v>5.4955428663255761</v>
      </c>
    </row>
    <row r="73" spans="1:12" x14ac:dyDescent="0.2">
      <c r="C73" s="5" t="s">
        <v>94</v>
      </c>
      <c r="D73" s="5"/>
      <c r="E73" s="5">
        <f>ROUND(+E72/$E$72,1)</f>
        <v>1</v>
      </c>
      <c r="F73" s="5">
        <f t="shared" ref="F73:J73" si="29">ROUND(+F72/$E$72,1)</f>
        <v>1</v>
      </c>
      <c r="G73" s="5">
        <f t="shared" si="29"/>
        <v>14.5</v>
      </c>
      <c r="H73" s="5">
        <f t="shared" si="29"/>
        <v>3.9</v>
      </c>
      <c r="I73" s="5">
        <f t="shared" si="29"/>
        <v>1</v>
      </c>
      <c r="J73" s="5">
        <f t="shared" si="29"/>
        <v>1</v>
      </c>
    </row>
    <row r="75" spans="1:12" x14ac:dyDescent="0.2">
      <c r="C75" s="1" t="s">
        <v>93</v>
      </c>
      <c r="E75" s="6">
        <v>1</v>
      </c>
      <c r="F75" s="6">
        <v>1.2</v>
      </c>
      <c r="G75" s="6">
        <v>17.399999999999999</v>
      </c>
      <c r="H75" s="6">
        <v>18</v>
      </c>
      <c r="I75" s="6">
        <v>2</v>
      </c>
      <c r="J75" s="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Weighing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Presseault</dc:creator>
  <cp:lastModifiedBy>Suzanne Presseault</cp:lastModifiedBy>
  <dcterms:created xsi:type="dcterms:W3CDTF">2023-03-09T17:28:19Z</dcterms:created>
  <dcterms:modified xsi:type="dcterms:W3CDTF">2024-01-19T17:13:46Z</dcterms:modified>
</cp:coreProperties>
</file>