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Bla\Documents\ORPC\"/>
    </mc:Choice>
  </mc:AlternateContent>
  <xr:revisionPtr revIDLastSave="0" documentId="13_ncr:1_{4A373505-B5D9-475D-82B5-567B09BEEF81}" xr6:coauthVersionLast="47" xr6:coauthVersionMax="47" xr10:uidLastSave="{00000000-0000-0000-0000-000000000000}"/>
  <bookViews>
    <workbookView xWindow="-28920" yWindow="-120" windowWidth="29040" windowHeight="15720" tabRatio="747" xr2:uid="{0FD6F116-BFD0-43D4-B859-8718EA42C03C}"/>
  </bookViews>
  <sheets>
    <sheet name="Input Data" sheetId="1" r:id="rId1"/>
    <sheet name="Power Purchased True-Up" sheetId="20" r:id="rId2"/>
    <sheet name="2023-24 Overcollection" sheetId="21" r:id="rId3"/>
    <sheet name="Alternate Historic PP True-Up" sheetId="13" r:id="rId4"/>
    <sheet name="Alt. Historic Summary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13" l="1"/>
  <c r="T62" i="13"/>
  <c r="T61" i="13"/>
  <c r="T77" i="13"/>
  <c r="T76" i="13"/>
  <c r="T75" i="13"/>
  <c r="T74" i="13"/>
  <c r="T73" i="13"/>
  <c r="T72" i="13"/>
  <c r="T71" i="13"/>
  <c r="T82" i="13"/>
  <c r="T81" i="13"/>
  <c r="T80" i="13"/>
  <c r="E63" i="13"/>
  <c r="Y41" i="13"/>
  <c r="E23" i="12"/>
  <c r="D23" i="12"/>
  <c r="E24" i="12"/>
  <c r="D24" i="12"/>
  <c r="Y15" i="13"/>
  <c r="E38" i="20"/>
  <c r="Y54" i="20"/>
  <c r="Y41" i="20"/>
  <c r="Y28" i="20"/>
  <c r="Y15" i="20"/>
  <c r="Y28" i="13"/>
  <c r="K32" i="21"/>
  <c r="K33" i="21"/>
  <c r="K34" i="21"/>
  <c r="K35" i="21"/>
  <c r="K36" i="21"/>
  <c r="K37" i="21"/>
  <c r="K38" i="21"/>
  <c r="K39" i="21"/>
  <c r="K40" i="21"/>
  <c r="K41" i="21"/>
  <c r="K42" i="21"/>
  <c r="K31" i="21"/>
  <c r="K19" i="21"/>
  <c r="K20" i="21"/>
  <c r="K21" i="21"/>
  <c r="K22" i="21"/>
  <c r="K23" i="21"/>
  <c r="K24" i="21"/>
  <c r="K25" i="21"/>
  <c r="K26" i="21"/>
  <c r="K27" i="21"/>
  <c r="K28" i="21"/>
  <c r="K29" i="21"/>
  <c r="K18" i="21"/>
  <c r="J33" i="21"/>
  <c r="J34" i="21"/>
  <c r="J35" i="21"/>
  <c r="J36" i="21"/>
  <c r="J37" i="21"/>
  <c r="J38" i="21"/>
  <c r="J39" i="21"/>
  <c r="J40" i="21"/>
  <c r="J41" i="21"/>
  <c r="J42" i="21"/>
  <c r="J32" i="21"/>
  <c r="J20" i="21"/>
  <c r="J21" i="21"/>
  <c r="J22" i="21"/>
  <c r="J23" i="21"/>
  <c r="J24" i="21"/>
  <c r="J25" i="21"/>
  <c r="J26" i="21"/>
  <c r="J27" i="21"/>
  <c r="J28" i="21"/>
  <c r="J29" i="21"/>
  <c r="J19" i="21"/>
  <c r="J12" i="21"/>
  <c r="J13" i="21"/>
  <c r="J14" i="21"/>
  <c r="J15" i="21"/>
  <c r="J16" i="21"/>
  <c r="J11" i="21"/>
  <c r="R56" i="20"/>
  <c r="R55" i="20"/>
  <c r="R54" i="20"/>
  <c r="R53" i="20"/>
  <c r="R52" i="20"/>
  <c r="R51" i="20"/>
  <c r="R50" i="20"/>
  <c r="R49" i="20"/>
  <c r="R48" i="20"/>
  <c r="R47" i="20"/>
  <c r="R46" i="20"/>
  <c r="R45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7" i="20"/>
  <c r="R16" i="20"/>
  <c r="R15" i="20"/>
  <c r="R14" i="20"/>
  <c r="R13" i="20"/>
  <c r="R12" i="20"/>
  <c r="I42" i="21"/>
  <c r="I41" i="21"/>
  <c r="I40" i="21"/>
  <c r="I39" i="21"/>
  <c r="I38" i="21"/>
  <c r="I37" i="21"/>
  <c r="I36" i="21"/>
  <c r="I35" i="21"/>
  <c r="I34" i="21"/>
  <c r="I33" i="21"/>
  <c r="I32" i="21"/>
  <c r="I31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6" i="21"/>
  <c r="I15" i="21"/>
  <c r="I14" i="21"/>
  <c r="I13" i="21"/>
  <c r="I12" i="21"/>
  <c r="I11" i="21"/>
  <c r="I10" i="21"/>
  <c r="I9" i="21"/>
  <c r="I8" i="21"/>
  <c r="I7" i="21"/>
  <c r="I6" i="21"/>
  <c r="I5" i="21"/>
  <c r="D22" i="13"/>
  <c r="D28" i="13"/>
  <c r="D21" i="13"/>
  <c r="D20" i="13"/>
  <c r="D14" i="13"/>
  <c r="K10" i="13"/>
  <c r="D32" i="1"/>
  <c r="H64" i="13"/>
  <c r="H65" i="13"/>
  <c r="H66" i="13"/>
  <c r="H67" i="13"/>
  <c r="H68" i="13"/>
  <c r="H69" i="13"/>
  <c r="H63" i="13"/>
  <c r="H59" i="13"/>
  <c r="H60" i="13"/>
  <c r="H61" i="13"/>
  <c r="H62" i="13"/>
  <c r="H58" i="13"/>
  <c r="H46" i="13"/>
  <c r="H47" i="13"/>
  <c r="H48" i="13"/>
  <c r="H49" i="13"/>
  <c r="H50" i="13"/>
  <c r="H51" i="13"/>
  <c r="H52" i="13"/>
  <c r="H53" i="13"/>
  <c r="H54" i="13"/>
  <c r="H55" i="13"/>
  <c r="H56" i="13"/>
  <c r="H45" i="13"/>
  <c r="H33" i="13"/>
  <c r="H34" i="13"/>
  <c r="H35" i="13"/>
  <c r="H36" i="13"/>
  <c r="H37" i="13"/>
  <c r="H38" i="13"/>
  <c r="H39" i="13"/>
  <c r="H40" i="13"/>
  <c r="H41" i="13"/>
  <c r="H42" i="13"/>
  <c r="H43" i="13"/>
  <c r="H32" i="13"/>
  <c r="H20" i="13"/>
  <c r="H21" i="13"/>
  <c r="H22" i="13"/>
  <c r="H23" i="13"/>
  <c r="H24" i="13"/>
  <c r="H25" i="13"/>
  <c r="H26" i="13"/>
  <c r="H27" i="13"/>
  <c r="H28" i="13"/>
  <c r="H29" i="13"/>
  <c r="H30" i="13"/>
  <c r="H19" i="13"/>
  <c r="H6" i="13"/>
  <c r="H7" i="13"/>
  <c r="H8" i="13"/>
  <c r="H9" i="13"/>
  <c r="H10" i="13"/>
  <c r="H11" i="13"/>
  <c r="H12" i="13"/>
  <c r="H13" i="13"/>
  <c r="H14" i="13"/>
  <c r="H15" i="13"/>
  <c r="H16" i="13"/>
  <c r="H17" i="13"/>
  <c r="D67" i="13"/>
  <c r="D54" i="13"/>
  <c r="D41" i="13"/>
  <c r="D15" i="20"/>
  <c r="K66" i="13"/>
  <c r="D8" i="20"/>
  <c r="K67" i="13"/>
  <c r="K68" i="13"/>
  <c r="K69" i="13"/>
  <c r="K63" i="13"/>
  <c r="E23" i="13" l="1"/>
  <c r="E26" i="13" l="1"/>
  <c r="E30" i="13" s="1"/>
  <c r="D13" i="21" l="1"/>
  <c r="D14" i="21"/>
  <c r="D15" i="21"/>
  <c r="D16" i="21"/>
  <c r="D47" i="20"/>
  <c r="D46" i="20"/>
  <c r="D33" i="20"/>
  <c r="K57" i="20"/>
  <c r="Y47" i="20" s="1"/>
  <c r="H57" i="20"/>
  <c r="M56" i="20"/>
  <c r="L56" i="20"/>
  <c r="M55" i="20"/>
  <c r="L55" i="20"/>
  <c r="M54" i="20"/>
  <c r="L54" i="20"/>
  <c r="M53" i="20"/>
  <c r="L53" i="20"/>
  <c r="M52" i="20"/>
  <c r="L52" i="20"/>
  <c r="M51" i="20"/>
  <c r="L51" i="20"/>
  <c r="M50" i="20"/>
  <c r="L50" i="20"/>
  <c r="M49" i="20"/>
  <c r="L49" i="20"/>
  <c r="M48" i="20"/>
  <c r="L48" i="20"/>
  <c r="M47" i="20"/>
  <c r="L47" i="20"/>
  <c r="M46" i="20"/>
  <c r="L46" i="20"/>
  <c r="M45" i="20"/>
  <c r="L45" i="20"/>
  <c r="F25" i="20"/>
  <c r="F12" i="20"/>
  <c r="D12" i="21"/>
  <c r="W11" i="1"/>
  <c r="K64" i="13" s="1"/>
  <c r="W12" i="1"/>
  <c r="K65" i="13" s="1"/>
  <c r="V12" i="1" l="1"/>
  <c r="V11" i="1"/>
  <c r="D11" i="21"/>
  <c r="E11" i="21" s="1"/>
  <c r="M57" i="20"/>
  <c r="X49" i="20" s="1"/>
  <c r="D48" i="20"/>
  <c r="E49" i="20" s="1"/>
  <c r="L57" i="20"/>
  <c r="Y48" i="20" s="1"/>
  <c r="R72" i="13" l="1"/>
  <c r="R73" i="13"/>
  <c r="R74" i="13"/>
  <c r="R75" i="13"/>
  <c r="R76" i="13"/>
  <c r="R77" i="13"/>
  <c r="R78" i="13"/>
  <c r="R79" i="13"/>
  <c r="R80" i="13"/>
  <c r="R81" i="13"/>
  <c r="R82" i="13"/>
  <c r="R71" i="13"/>
  <c r="R69" i="13" l="1"/>
  <c r="R68" i="13"/>
  <c r="R67" i="13"/>
  <c r="R66" i="13"/>
  <c r="R65" i="13"/>
  <c r="R64" i="13"/>
  <c r="R63" i="13"/>
  <c r="R62" i="13"/>
  <c r="R61" i="13"/>
  <c r="R60" i="13"/>
  <c r="R59" i="13"/>
  <c r="R58" i="13"/>
  <c r="I44" i="1"/>
  <c r="F11" i="12"/>
  <c r="E11" i="12"/>
  <c r="D11" i="12"/>
  <c r="J44" i="1" l="1"/>
  <c r="K44" i="1"/>
  <c r="M44" i="1"/>
  <c r="N44" i="1"/>
  <c r="L44" i="1"/>
  <c r="K44" i="20" l="1"/>
  <c r="Y34" i="20" s="1"/>
  <c r="H44" i="20"/>
  <c r="M43" i="20"/>
  <c r="L43" i="20"/>
  <c r="M42" i="20"/>
  <c r="L42" i="20"/>
  <c r="M41" i="20"/>
  <c r="L41" i="20"/>
  <c r="M40" i="20"/>
  <c r="L40" i="20"/>
  <c r="M39" i="20"/>
  <c r="L39" i="20"/>
  <c r="M38" i="20"/>
  <c r="L38" i="20"/>
  <c r="M37" i="20"/>
  <c r="L37" i="20"/>
  <c r="M36" i="20"/>
  <c r="L36" i="20"/>
  <c r="M35" i="20"/>
  <c r="L35" i="20"/>
  <c r="M34" i="20"/>
  <c r="L34" i="20"/>
  <c r="D34" i="20"/>
  <c r="M33" i="20"/>
  <c r="L33" i="20"/>
  <c r="M32" i="20"/>
  <c r="L32" i="20"/>
  <c r="D43" i="21"/>
  <c r="D30" i="21"/>
  <c r="P20" i="21" s="1"/>
  <c r="F29" i="21"/>
  <c r="G29" i="21" s="1"/>
  <c r="E29" i="21"/>
  <c r="F28" i="21"/>
  <c r="G28" i="21" s="1"/>
  <c r="E28" i="21"/>
  <c r="F27" i="21"/>
  <c r="G27" i="21" s="1"/>
  <c r="E27" i="21"/>
  <c r="F26" i="21"/>
  <c r="G26" i="21" s="1"/>
  <c r="E26" i="21"/>
  <c r="F25" i="21"/>
  <c r="G25" i="21" s="1"/>
  <c r="E25" i="21"/>
  <c r="F24" i="21"/>
  <c r="G24" i="21" s="1"/>
  <c r="E24" i="21"/>
  <c r="F23" i="21"/>
  <c r="G23" i="21" s="1"/>
  <c r="E23" i="21"/>
  <c r="F22" i="21"/>
  <c r="G22" i="21" s="1"/>
  <c r="E22" i="21"/>
  <c r="F21" i="21"/>
  <c r="G21" i="21" s="1"/>
  <c r="E21" i="21"/>
  <c r="F20" i="21"/>
  <c r="G20" i="21" s="1"/>
  <c r="E20" i="21"/>
  <c r="F19" i="21"/>
  <c r="G19" i="21" s="1"/>
  <c r="E19" i="21"/>
  <c r="F18" i="21"/>
  <c r="G18" i="21" s="1"/>
  <c r="H18" i="21" s="1"/>
  <c r="E18" i="21"/>
  <c r="K17" i="21"/>
  <c r="D17" i="21"/>
  <c r="P7" i="21" s="1"/>
  <c r="F16" i="21"/>
  <c r="G16" i="21" s="1"/>
  <c r="E16" i="21"/>
  <c r="F15" i="21"/>
  <c r="G15" i="21" s="1"/>
  <c r="E15" i="21"/>
  <c r="F14" i="21"/>
  <c r="G14" i="21" s="1"/>
  <c r="E14" i="21"/>
  <c r="F13" i="21"/>
  <c r="G13" i="21" s="1"/>
  <c r="E13" i="21"/>
  <c r="F12" i="21"/>
  <c r="G12" i="21" s="1"/>
  <c r="E12" i="21"/>
  <c r="F11" i="21"/>
  <c r="G11" i="21" s="1"/>
  <c r="F10" i="21"/>
  <c r="G10" i="21" s="1"/>
  <c r="E10" i="21"/>
  <c r="F9" i="21"/>
  <c r="G9" i="21" s="1"/>
  <c r="E9" i="21"/>
  <c r="F8" i="21"/>
  <c r="G8" i="21" s="1"/>
  <c r="E8" i="21"/>
  <c r="F7" i="21"/>
  <c r="G7" i="21" s="1"/>
  <c r="E7" i="21"/>
  <c r="F6" i="21"/>
  <c r="G6" i="21" s="1"/>
  <c r="E6" i="21"/>
  <c r="F5" i="21"/>
  <c r="G5" i="21" s="1"/>
  <c r="H5" i="21" s="1"/>
  <c r="E5" i="21"/>
  <c r="H6" i="21" l="1"/>
  <c r="H19" i="21"/>
  <c r="L44" i="20"/>
  <c r="Y35" i="20" s="1"/>
  <c r="D35" i="20"/>
  <c r="E36" i="20" s="1"/>
  <c r="M44" i="20"/>
  <c r="X36" i="20" s="1"/>
  <c r="H7" i="21"/>
  <c r="H8" i="21" s="1"/>
  <c r="H9" i="21" s="1"/>
  <c r="H10" i="21" s="1"/>
  <c r="H11" i="21" s="1"/>
  <c r="H12" i="21" s="1"/>
  <c r="H13" i="21" s="1"/>
  <c r="H14" i="21" s="1"/>
  <c r="H15" i="21" s="1"/>
  <c r="H16" i="21" s="1"/>
  <c r="E43" i="21"/>
  <c r="G43" i="21"/>
  <c r="F43" i="21"/>
  <c r="H20" i="21"/>
  <c r="H21" i="21" s="1"/>
  <c r="H22" i="21" s="1"/>
  <c r="H23" i="21" s="1"/>
  <c r="H24" i="21" s="1"/>
  <c r="H25" i="21" s="1"/>
  <c r="H26" i="21" s="1"/>
  <c r="H27" i="21" s="1"/>
  <c r="H28" i="21" s="1"/>
  <c r="H29" i="21" s="1"/>
  <c r="F30" i="21"/>
  <c r="P22" i="21" s="1"/>
  <c r="E30" i="21"/>
  <c r="P21" i="21" s="1"/>
  <c r="E17" i="21"/>
  <c r="P8" i="21" s="1"/>
  <c r="F17" i="21"/>
  <c r="P9" i="21" s="1"/>
  <c r="G17" i="21" l="1"/>
  <c r="G30" i="21"/>
  <c r="J5" i="21" l="1"/>
  <c r="J6" i="21" l="1"/>
  <c r="J7" i="21" l="1"/>
  <c r="J8" i="21" l="1"/>
  <c r="J9" i="21" l="1"/>
  <c r="J10" i="21" l="1"/>
  <c r="J43" i="21" l="1"/>
  <c r="J30" i="21" l="1"/>
  <c r="K43" i="21" l="1"/>
  <c r="P23" i="21" s="1"/>
  <c r="E39" i="20" s="1"/>
  <c r="N47" i="20" s="1"/>
  <c r="J17" i="21"/>
  <c r="E28" i="12"/>
  <c r="F28" i="12"/>
  <c r="G28" i="12"/>
  <c r="H28" i="12"/>
  <c r="D28" i="12"/>
  <c r="K31" i="20"/>
  <c r="Y21" i="20" s="1"/>
  <c r="M30" i="20"/>
  <c r="L30" i="20"/>
  <c r="M29" i="20"/>
  <c r="L29" i="20"/>
  <c r="M28" i="20"/>
  <c r="L28" i="20"/>
  <c r="M27" i="20"/>
  <c r="L27" i="20"/>
  <c r="M26" i="20"/>
  <c r="L26" i="20"/>
  <c r="M25" i="20"/>
  <c r="L25" i="20"/>
  <c r="M24" i="20"/>
  <c r="L24" i="20"/>
  <c r="M23" i="20"/>
  <c r="L23" i="20"/>
  <c r="M22" i="20"/>
  <c r="L22" i="20"/>
  <c r="D21" i="20"/>
  <c r="M21" i="20"/>
  <c r="L21" i="20"/>
  <c r="D20" i="20"/>
  <c r="M20" i="20"/>
  <c r="O20" i="20" s="1"/>
  <c r="L20" i="20"/>
  <c r="M19" i="20"/>
  <c r="L19" i="20"/>
  <c r="H31" i="20"/>
  <c r="K18" i="20"/>
  <c r="Y8" i="20" s="1"/>
  <c r="M17" i="20"/>
  <c r="L17" i="20"/>
  <c r="M16" i="20"/>
  <c r="L16" i="20"/>
  <c r="M15" i="20"/>
  <c r="L15" i="20"/>
  <c r="M14" i="20"/>
  <c r="L14" i="20"/>
  <c r="M13" i="20"/>
  <c r="L13" i="20"/>
  <c r="M12" i="20"/>
  <c r="L12" i="20"/>
  <c r="H18" i="20"/>
  <c r="E4" i="12"/>
  <c r="D60" i="13"/>
  <c r="H4" i="12" s="1"/>
  <c r="D47" i="13"/>
  <c r="G4" i="12" s="1"/>
  <c r="D34" i="13"/>
  <c r="F4" i="12" s="1"/>
  <c r="D9" i="13"/>
  <c r="D4" i="12" s="1"/>
  <c r="N31" i="13"/>
  <c r="K58" i="13"/>
  <c r="L58" i="13" s="1"/>
  <c r="K59" i="13"/>
  <c r="L59" i="13" s="1"/>
  <c r="K60" i="13"/>
  <c r="L60" i="13" s="1"/>
  <c r="K61" i="13"/>
  <c r="L61" i="13" s="1"/>
  <c r="K62" i="13"/>
  <c r="L62" i="13" s="1"/>
  <c r="L63" i="13"/>
  <c r="M63" i="13"/>
  <c r="L64" i="13"/>
  <c r="M64" i="13"/>
  <c r="L65" i="13"/>
  <c r="M65" i="13"/>
  <c r="L66" i="13"/>
  <c r="M66" i="13"/>
  <c r="L67" i="13"/>
  <c r="M67" i="13"/>
  <c r="L68" i="13"/>
  <c r="M68" i="13"/>
  <c r="L69" i="13"/>
  <c r="M69" i="13"/>
  <c r="K45" i="13"/>
  <c r="L45" i="13" s="1"/>
  <c r="R45" i="13"/>
  <c r="K46" i="13"/>
  <c r="L46" i="13" s="1"/>
  <c r="R46" i="13"/>
  <c r="K47" i="13"/>
  <c r="L47" i="13" s="1"/>
  <c r="R47" i="13"/>
  <c r="K48" i="13"/>
  <c r="L48" i="13" s="1"/>
  <c r="R48" i="13"/>
  <c r="K49" i="13"/>
  <c r="L49" i="13" s="1"/>
  <c r="R49" i="13"/>
  <c r="K50" i="13"/>
  <c r="L50" i="13" s="1"/>
  <c r="R50" i="13"/>
  <c r="K51" i="13"/>
  <c r="L51" i="13" s="1"/>
  <c r="R51" i="13"/>
  <c r="K52" i="13"/>
  <c r="L52" i="13" s="1"/>
  <c r="R52" i="13"/>
  <c r="K53" i="13"/>
  <c r="L53" i="13" s="1"/>
  <c r="R53" i="13"/>
  <c r="K54" i="13"/>
  <c r="L54" i="13" s="1"/>
  <c r="R54" i="13"/>
  <c r="K55" i="13"/>
  <c r="L55" i="13" s="1"/>
  <c r="R55" i="13"/>
  <c r="K56" i="13"/>
  <c r="L56" i="13" s="1"/>
  <c r="R56" i="13"/>
  <c r="K32" i="13"/>
  <c r="L32" i="13" s="1"/>
  <c r="R32" i="13"/>
  <c r="K33" i="13"/>
  <c r="L33" i="13" s="1"/>
  <c r="R33" i="13"/>
  <c r="K34" i="13"/>
  <c r="L34" i="13" s="1"/>
  <c r="R34" i="13"/>
  <c r="K35" i="13"/>
  <c r="L35" i="13" s="1"/>
  <c r="R35" i="13"/>
  <c r="K36" i="13"/>
  <c r="L36" i="13" s="1"/>
  <c r="R36" i="13"/>
  <c r="K37" i="13"/>
  <c r="L37" i="13" s="1"/>
  <c r="R37" i="13"/>
  <c r="K38" i="13"/>
  <c r="L38" i="13" s="1"/>
  <c r="R38" i="13"/>
  <c r="K39" i="13"/>
  <c r="L39" i="13" s="1"/>
  <c r="R39" i="13"/>
  <c r="K40" i="13"/>
  <c r="L40" i="13" s="1"/>
  <c r="R40" i="13"/>
  <c r="K41" i="13"/>
  <c r="L41" i="13" s="1"/>
  <c r="R41" i="13"/>
  <c r="K42" i="13"/>
  <c r="L42" i="13" s="1"/>
  <c r="R42" i="13"/>
  <c r="K43" i="13"/>
  <c r="L43" i="13" s="1"/>
  <c r="R43" i="13"/>
  <c r="K19" i="13"/>
  <c r="L19" i="13" s="1"/>
  <c r="R19" i="13"/>
  <c r="K20" i="13"/>
  <c r="M20" i="13" s="1"/>
  <c r="O20" i="13" s="1"/>
  <c r="R20" i="13"/>
  <c r="K21" i="13"/>
  <c r="L21" i="13" s="1"/>
  <c r="R21" i="13"/>
  <c r="K22" i="13"/>
  <c r="M22" i="13" s="1"/>
  <c r="O22" i="13" s="1"/>
  <c r="R22" i="13"/>
  <c r="K23" i="13"/>
  <c r="L23" i="13" s="1"/>
  <c r="R23" i="13"/>
  <c r="K24" i="13"/>
  <c r="M24" i="13" s="1"/>
  <c r="O24" i="13" s="1"/>
  <c r="R24" i="13"/>
  <c r="K25" i="13"/>
  <c r="L25" i="13" s="1"/>
  <c r="R25" i="13"/>
  <c r="K26" i="13"/>
  <c r="L26" i="13" s="1"/>
  <c r="R26" i="13"/>
  <c r="K27" i="13"/>
  <c r="L27" i="13" s="1"/>
  <c r="R27" i="13"/>
  <c r="K28" i="13"/>
  <c r="M28" i="13" s="1"/>
  <c r="O28" i="13" s="1"/>
  <c r="R28" i="13"/>
  <c r="K29" i="13"/>
  <c r="L29" i="13" s="1"/>
  <c r="R29" i="13"/>
  <c r="K30" i="13"/>
  <c r="L30" i="13" s="1"/>
  <c r="R30" i="13"/>
  <c r="K6" i="13"/>
  <c r="L6" i="13" s="1"/>
  <c r="R6" i="13"/>
  <c r="K7" i="13"/>
  <c r="M7" i="13" s="1"/>
  <c r="O7" i="13" s="1"/>
  <c r="R7" i="13"/>
  <c r="K8" i="13"/>
  <c r="M8" i="13" s="1"/>
  <c r="O8" i="13" s="1"/>
  <c r="R8" i="13"/>
  <c r="K9" i="13"/>
  <c r="L9" i="13" s="1"/>
  <c r="R9" i="13"/>
  <c r="L10" i="13"/>
  <c r="R10" i="13"/>
  <c r="K11" i="13"/>
  <c r="R11" i="13"/>
  <c r="K12" i="13"/>
  <c r="M12" i="13" s="1"/>
  <c r="O12" i="13" s="1"/>
  <c r="R12" i="13"/>
  <c r="K13" i="13"/>
  <c r="L13" i="13" s="1"/>
  <c r="R13" i="13"/>
  <c r="K14" i="13"/>
  <c r="L14" i="13" s="1"/>
  <c r="R14" i="13"/>
  <c r="K15" i="13"/>
  <c r="M15" i="13" s="1"/>
  <c r="O15" i="13" s="1"/>
  <c r="R15" i="13"/>
  <c r="K16" i="13"/>
  <c r="L16" i="13" s="1"/>
  <c r="R16" i="13"/>
  <c r="K17" i="13"/>
  <c r="M17" i="13" s="1"/>
  <c r="O17" i="13" s="1"/>
  <c r="R17" i="13"/>
  <c r="N18" i="13"/>
  <c r="C32" i="12"/>
  <c r="C30" i="12"/>
  <c r="L11" i="13" l="1"/>
  <c r="M11" i="13"/>
  <c r="O11" i="13" s="1"/>
  <c r="N46" i="20"/>
  <c r="N43" i="20"/>
  <c r="O43" i="20" s="1"/>
  <c r="N41" i="20"/>
  <c r="O41" i="20" s="1"/>
  <c r="N37" i="20"/>
  <c r="O37" i="20" s="1"/>
  <c r="N36" i="20"/>
  <c r="O36" i="20" s="1"/>
  <c r="N39" i="20"/>
  <c r="O39" i="20" s="1"/>
  <c r="N40" i="20"/>
  <c r="O40" i="20" s="1"/>
  <c r="N48" i="20"/>
  <c r="N42" i="20"/>
  <c r="O42" i="20" s="1"/>
  <c r="N38" i="20"/>
  <c r="O38" i="20" s="1"/>
  <c r="N45" i="20"/>
  <c r="D22" i="20"/>
  <c r="E23" i="20" s="1"/>
  <c r="O15" i="20"/>
  <c r="O12" i="20"/>
  <c r="O14" i="20"/>
  <c r="M18" i="20"/>
  <c r="X10" i="20" s="1"/>
  <c r="Y12" i="20" s="1"/>
  <c r="O16" i="20"/>
  <c r="M31" i="20"/>
  <c r="X23" i="20" s="1"/>
  <c r="L31" i="20"/>
  <c r="Y22" i="20" s="1"/>
  <c r="L18" i="20"/>
  <c r="Y9" i="20" s="1"/>
  <c r="O17" i="20"/>
  <c r="N18" i="20"/>
  <c r="O13" i="20"/>
  <c r="O21" i="20"/>
  <c r="O22" i="20"/>
  <c r="O19" i="20"/>
  <c r="H31" i="13"/>
  <c r="L12" i="13"/>
  <c r="H57" i="13"/>
  <c r="K31" i="13"/>
  <c r="Y21" i="13" s="1"/>
  <c r="K70" i="13"/>
  <c r="Y60" i="13" s="1"/>
  <c r="L70" i="13"/>
  <c r="Y61" i="13" s="1"/>
  <c r="L8" i="13"/>
  <c r="L22" i="13"/>
  <c r="M21" i="13"/>
  <c r="O21" i="13" s="1"/>
  <c r="H70" i="13"/>
  <c r="M62" i="13"/>
  <c r="M61" i="13"/>
  <c r="M60" i="13"/>
  <c r="M59" i="13"/>
  <c r="M58" i="13"/>
  <c r="L57" i="13"/>
  <c r="Y48" i="13" s="1"/>
  <c r="K57" i="13"/>
  <c r="Y47" i="13" s="1"/>
  <c r="M56" i="13"/>
  <c r="M55" i="13"/>
  <c r="M54" i="13"/>
  <c r="M53" i="13"/>
  <c r="M52" i="13"/>
  <c r="M51" i="13"/>
  <c r="M50" i="13"/>
  <c r="M49" i="13"/>
  <c r="M48" i="13"/>
  <c r="M47" i="13"/>
  <c r="M46" i="13"/>
  <c r="M45" i="13"/>
  <c r="H44" i="13"/>
  <c r="L17" i="13"/>
  <c r="M16" i="13"/>
  <c r="O16" i="13" s="1"/>
  <c r="M9" i="13"/>
  <c r="O9" i="13" s="1"/>
  <c r="M30" i="13"/>
  <c r="O30" i="13" s="1"/>
  <c r="M29" i="13"/>
  <c r="O29" i="13" s="1"/>
  <c r="L44" i="13"/>
  <c r="Y35" i="13" s="1"/>
  <c r="L28" i="13"/>
  <c r="M26" i="13"/>
  <c r="O26" i="13" s="1"/>
  <c r="M25" i="13"/>
  <c r="O25" i="13" s="1"/>
  <c r="L20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K44" i="13"/>
  <c r="Y34" i="13" s="1"/>
  <c r="L24" i="13"/>
  <c r="L15" i="13"/>
  <c r="M13" i="13"/>
  <c r="O13" i="13" s="1"/>
  <c r="L7" i="13"/>
  <c r="M27" i="13"/>
  <c r="O27" i="13" s="1"/>
  <c r="M23" i="13"/>
  <c r="O23" i="13" s="1"/>
  <c r="M19" i="13"/>
  <c r="K18" i="13"/>
  <c r="Y8" i="13" s="1"/>
  <c r="M14" i="13"/>
  <c r="O14" i="13" s="1"/>
  <c r="M10" i="13"/>
  <c r="O10" i="13" s="1"/>
  <c r="M6" i="13"/>
  <c r="O6" i="13" s="1"/>
  <c r="C46" i="1"/>
  <c r="I46" i="1" s="1"/>
  <c r="D46" i="1"/>
  <c r="C47" i="1"/>
  <c r="I47" i="1" s="1"/>
  <c r="D47" i="1"/>
  <c r="C48" i="1"/>
  <c r="I48" i="1" s="1"/>
  <c r="D48" i="1"/>
  <c r="C49" i="1"/>
  <c r="I49" i="1" s="1"/>
  <c r="D49" i="1"/>
  <c r="C50" i="1"/>
  <c r="I50" i="1" s="1"/>
  <c r="D50" i="1"/>
  <c r="C51" i="1"/>
  <c r="I51" i="1" s="1"/>
  <c r="D51" i="1"/>
  <c r="C52" i="1"/>
  <c r="I52" i="1" s="1"/>
  <c r="D52" i="1"/>
  <c r="C53" i="1"/>
  <c r="I53" i="1" s="1"/>
  <c r="D53" i="1"/>
  <c r="C54" i="1"/>
  <c r="I54" i="1" s="1"/>
  <c r="D54" i="1"/>
  <c r="C55" i="1"/>
  <c r="I55" i="1" s="1"/>
  <c r="D55" i="1"/>
  <c r="C56" i="1"/>
  <c r="I56" i="1" s="1"/>
  <c r="D56" i="1"/>
  <c r="D45" i="1"/>
  <c r="C45" i="1"/>
  <c r="E46" i="1"/>
  <c r="F46" i="1"/>
  <c r="G46" i="1"/>
  <c r="H46" i="1"/>
  <c r="E47" i="1"/>
  <c r="F47" i="1"/>
  <c r="G47" i="1"/>
  <c r="H47" i="1"/>
  <c r="E48" i="1"/>
  <c r="F48" i="1"/>
  <c r="G48" i="1"/>
  <c r="H48" i="1"/>
  <c r="E49" i="1"/>
  <c r="F49" i="1"/>
  <c r="G49" i="1"/>
  <c r="H49" i="1"/>
  <c r="E50" i="1"/>
  <c r="F50" i="1"/>
  <c r="G50" i="1"/>
  <c r="H50" i="1"/>
  <c r="E51" i="1"/>
  <c r="F51" i="1"/>
  <c r="G51" i="1"/>
  <c r="H51" i="1"/>
  <c r="E52" i="1"/>
  <c r="F52" i="1"/>
  <c r="G52" i="1"/>
  <c r="H52" i="1"/>
  <c r="E53" i="1"/>
  <c r="F53" i="1"/>
  <c r="G53" i="1"/>
  <c r="H53" i="1"/>
  <c r="E54" i="1"/>
  <c r="F54" i="1"/>
  <c r="G54" i="1"/>
  <c r="H54" i="1"/>
  <c r="E55" i="1"/>
  <c r="F55" i="1"/>
  <c r="G55" i="1"/>
  <c r="H55" i="1"/>
  <c r="E56" i="1"/>
  <c r="F56" i="1"/>
  <c r="G56" i="1"/>
  <c r="H56" i="1"/>
  <c r="H45" i="1"/>
  <c r="G45" i="1"/>
  <c r="F45" i="1"/>
  <c r="E45" i="1"/>
  <c r="G34" i="1"/>
  <c r="H11" i="12" s="1"/>
  <c r="H34" i="1"/>
  <c r="I34" i="1"/>
  <c r="F34" i="1"/>
  <c r="W17" i="1"/>
  <c r="U17" i="1"/>
  <c r="T17" i="1"/>
  <c r="R17" i="1"/>
  <c r="Q17" i="1"/>
  <c r="O17" i="1"/>
  <c r="N17" i="1"/>
  <c r="L17" i="1"/>
  <c r="K17" i="1"/>
  <c r="I17" i="1"/>
  <c r="H17" i="1"/>
  <c r="F17" i="1"/>
  <c r="E17" i="1"/>
  <c r="C17" i="1"/>
  <c r="K30" i="21" l="1"/>
  <c r="P10" i="21" s="1"/>
  <c r="E26" i="20" s="1"/>
  <c r="N45" i="1"/>
  <c r="M55" i="1"/>
  <c r="M53" i="1"/>
  <c r="M51" i="1"/>
  <c r="M49" i="1"/>
  <c r="M47" i="1"/>
  <c r="D25" i="1"/>
  <c r="D29" i="1"/>
  <c r="D33" i="1"/>
  <c r="E26" i="1"/>
  <c r="E30" i="1"/>
  <c r="E22" i="1"/>
  <c r="E24" i="1"/>
  <c r="G11" i="12"/>
  <c r="D24" i="1"/>
  <c r="E29" i="1"/>
  <c r="D22" i="1"/>
  <c r="D26" i="1"/>
  <c r="D30" i="1"/>
  <c r="E23" i="1"/>
  <c r="E27" i="1"/>
  <c r="E31" i="1"/>
  <c r="D23" i="1"/>
  <c r="D27" i="1"/>
  <c r="D31" i="1"/>
  <c r="E28" i="1"/>
  <c r="E32" i="1"/>
  <c r="D28" i="1"/>
  <c r="E25" i="1"/>
  <c r="E33" i="1"/>
  <c r="J45" i="1"/>
  <c r="I45" i="1"/>
  <c r="I57" i="1" s="1"/>
  <c r="D8" i="13" s="1"/>
  <c r="M45" i="1"/>
  <c r="J55" i="1"/>
  <c r="K55" i="1"/>
  <c r="L55" i="1"/>
  <c r="J53" i="1"/>
  <c r="K53" i="1"/>
  <c r="L53" i="1"/>
  <c r="J51" i="1"/>
  <c r="K51" i="1"/>
  <c r="L51" i="1"/>
  <c r="J49" i="1"/>
  <c r="K49" i="1"/>
  <c r="L49" i="1"/>
  <c r="J47" i="1"/>
  <c r="K47" i="1"/>
  <c r="L47" i="1"/>
  <c r="M56" i="1"/>
  <c r="M54" i="1"/>
  <c r="M52" i="1"/>
  <c r="M50" i="1"/>
  <c r="M48" i="1"/>
  <c r="M46" i="1"/>
  <c r="K45" i="1"/>
  <c r="L45" i="1"/>
  <c r="D17" i="1"/>
  <c r="N56" i="1"/>
  <c r="N55" i="1"/>
  <c r="N54" i="1"/>
  <c r="N53" i="1"/>
  <c r="N52" i="1"/>
  <c r="N51" i="1"/>
  <c r="N50" i="1"/>
  <c r="N49" i="1"/>
  <c r="N48" i="1"/>
  <c r="N47" i="1"/>
  <c r="N46" i="1"/>
  <c r="J56" i="1"/>
  <c r="K56" i="1"/>
  <c r="L56" i="1"/>
  <c r="J54" i="1"/>
  <c r="K54" i="1"/>
  <c r="L54" i="1"/>
  <c r="J52" i="1"/>
  <c r="K52" i="1"/>
  <c r="L52" i="1"/>
  <c r="J50" i="1"/>
  <c r="K50" i="1"/>
  <c r="L50" i="1"/>
  <c r="J48" i="1"/>
  <c r="K48" i="1"/>
  <c r="L48" i="1"/>
  <c r="J46" i="1"/>
  <c r="K46" i="1"/>
  <c r="L46" i="1"/>
  <c r="J17" i="1"/>
  <c r="P17" i="1"/>
  <c r="G17" i="1"/>
  <c r="M17" i="1"/>
  <c r="V17" i="1"/>
  <c r="S17" i="1"/>
  <c r="D29" i="20"/>
  <c r="O18" i="20"/>
  <c r="L31" i="13"/>
  <c r="Y22" i="13" s="1"/>
  <c r="M31" i="13"/>
  <c r="X23" i="13" s="1"/>
  <c r="Y25" i="13" s="1"/>
  <c r="M70" i="13"/>
  <c r="X62" i="13" s="1"/>
  <c r="H15" i="12" s="1"/>
  <c r="M57" i="13"/>
  <c r="X49" i="13" s="1"/>
  <c r="G15" i="12" s="1"/>
  <c r="M44" i="13"/>
  <c r="X36" i="13" s="1"/>
  <c r="F15" i="12" s="1"/>
  <c r="L18" i="13"/>
  <c r="Y9" i="13" s="1"/>
  <c r="O19" i="13"/>
  <c r="O31" i="13" s="1"/>
  <c r="M18" i="13"/>
  <c r="H57" i="1"/>
  <c r="G57" i="1"/>
  <c r="F57" i="1"/>
  <c r="E57" i="1"/>
  <c r="C57" i="1"/>
  <c r="D57" i="1"/>
  <c r="D5" i="12" l="1"/>
  <c r="D10" i="13"/>
  <c r="E11" i="13" s="1"/>
  <c r="E12" i="13" s="1"/>
  <c r="E16" i="13" s="1"/>
  <c r="E27" i="20"/>
  <c r="E30" i="20" s="1"/>
  <c r="I23" i="20" s="1"/>
  <c r="N35" i="20"/>
  <c r="O35" i="20" s="1"/>
  <c r="N25" i="20"/>
  <c r="O25" i="20" s="1"/>
  <c r="N29" i="20"/>
  <c r="O29" i="20" s="1"/>
  <c r="N24" i="20"/>
  <c r="O24" i="20" s="1"/>
  <c r="N32" i="20"/>
  <c r="N26" i="20"/>
  <c r="O26" i="20" s="1"/>
  <c r="N30" i="20"/>
  <c r="O30" i="20" s="1"/>
  <c r="N28" i="20"/>
  <c r="O28" i="20" s="1"/>
  <c r="N33" i="20"/>
  <c r="O33" i="20" s="1"/>
  <c r="N23" i="20"/>
  <c r="N27" i="20"/>
  <c r="O27" i="20" s="1"/>
  <c r="N34" i="20"/>
  <c r="O34" i="20" s="1"/>
  <c r="H18" i="13"/>
  <c r="E15" i="12"/>
  <c r="J57" i="1"/>
  <c r="E5" i="12" s="1"/>
  <c r="K57" i="1"/>
  <c r="D42" i="20"/>
  <c r="D54" i="20" s="1"/>
  <c r="X10" i="13"/>
  <c r="O18" i="13"/>
  <c r="N57" i="1"/>
  <c r="M57" i="1"/>
  <c r="L57" i="1"/>
  <c r="O23" i="20" l="1"/>
  <c r="O31" i="20" s="1"/>
  <c r="N31" i="20"/>
  <c r="O32" i="20"/>
  <c r="O44" i="20" s="1"/>
  <c r="N44" i="20"/>
  <c r="Y12" i="13"/>
  <c r="D31" i="12" s="1"/>
  <c r="D15" i="12"/>
  <c r="D17" i="12" s="1"/>
  <c r="D7" i="12"/>
  <c r="D46" i="13"/>
  <c r="G5" i="12" s="1"/>
  <c r="D59" i="13"/>
  <c r="D33" i="13"/>
  <c r="F5" i="12" s="1"/>
  <c r="D7" i="20"/>
  <c r="D9" i="20" s="1"/>
  <c r="E10" i="20" s="1"/>
  <c r="E13" i="20" s="1"/>
  <c r="E17" i="20" s="1"/>
  <c r="I12" i="20" s="1"/>
  <c r="I24" i="20"/>
  <c r="J23" i="20"/>
  <c r="P23" i="20" s="1"/>
  <c r="E31" i="12"/>
  <c r="E17" i="12"/>
  <c r="H5" i="12" l="1"/>
  <c r="D61" i="13"/>
  <c r="E62" i="13" s="1"/>
  <c r="D35" i="13"/>
  <c r="E36" i="13" s="1"/>
  <c r="I23" i="13"/>
  <c r="E7" i="12"/>
  <c r="I19" i="13"/>
  <c r="I6" i="13"/>
  <c r="H7" i="12"/>
  <c r="D48" i="13"/>
  <c r="E49" i="13" s="1"/>
  <c r="G7" i="12" s="1"/>
  <c r="I25" i="20"/>
  <c r="J24" i="20"/>
  <c r="P24" i="20" s="1"/>
  <c r="F7" i="12" l="1"/>
  <c r="F30" i="12" s="1"/>
  <c r="I32" i="13"/>
  <c r="I26" i="20"/>
  <c r="J25" i="20"/>
  <c r="P25" i="20" s="1"/>
  <c r="D9" i="12"/>
  <c r="D13" i="12" s="1"/>
  <c r="D30" i="12"/>
  <c r="G30" i="12"/>
  <c r="H30" i="12"/>
  <c r="I27" i="20" l="1"/>
  <c r="J26" i="20"/>
  <c r="P26" i="20" s="1"/>
  <c r="I20" i="13"/>
  <c r="J19" i="13"/>
  <c r="P19" i="13" s="1"/>
  <c r="Q19" i="13" s="1"/>
  <c r="S20" i="13" s="1"/>
  <c r="I7" i="13"/>
  <c r="J6" i="13"/>
  <c r="P6" i="13" s="1"/>
  <c r="Q6" i="13" s="1"/>
  <c r="S7" i="13" s="1"/>
  <c r="E9" i="12"/>
  <c r="E13" i="12" s="1"/>
  <c r="E30" i="12"/>
  <c r="I13" i="20"/>
  <c r="J12" i="20"/>
  <c r="P12" i="20" s="1"/>
  <c r="I28" i="20" l="1"/>
  <c r="J27" i="20"/>
  <c r="P27" i="20" s="1"/>
  <c r="I21" i="13"/>
  <c r="J20" i="13"/>
  <c r="P20" i="13" s="1"/>
  <c r="Q20" i="13" s="1"/>
  <c r="S21" i="13" s="1"/>
  <c r="I14" i="20"/>
  <c r="J13" i="20"/>
  <c r="P13" i="20" s="1"/>
  <c r="I8" i="13"/>
  <c r="J7" i="13"/>
  <c r="P7" i="13" s="1"/>
  <c r="Q7" i="13" l="1"/>
  <c r="S8" i="13" s="1"/>
  <c r="I29" i="20"/>
  <c r="J28" i="20"/>
  <c r="P28" i="20" s="1"/>
  <c r="I9" i="13"/>
  <c r="J8" i="13"/>
  <c r="I15" i="20"/>
  <c r="J14" i="20"/>
  <c r="P14" i="20" s="1"/>
  <c r="I22" i="13"/>
  <c r="J22" i="13" s="1"/>
  <c r="P22" i="13" s="1"/>
  <c r="J21" i="13"/>
  <c r="P21" i="13" s="1"/>
  <c r="Q21" i="13" s="1"/>
  <c r="S22" i="13" s="1"/>
  <c r="P8" i="13" l="1"/>
  <c r="Q8" i="13" s="1"/>
  <c r="S9" i="13" s="1"/>
  <c r="I30" i="20"/>
  <c r="J29" i="20"/>
  <c r="P29" i="20" s="1"/>
  <c r="Q22" i="13"/>
  <c r="S23" i="13" s="1"/>
  <c r="J15" i="20"/>
  <c r="P15" i="20" s="1"/>
  <c r="I16" i="20"/>
  <c r="I10" i="13"/>
  <c r="J9" i="13"/>
  <c r="I32" i="20" l="1"/>
  <c r="J30" i="20"/>
  <c r="P30" i="20" s="1"/>
  <c r="I17" i="20"/>
  <c r="J16" i="20"/>
  <c r="P16" i="20" s="1"/>
  <c r="J10" i="13"/>
  <c r="P10" i="13" s="1"/>
  <c r="I11" i="13"/>
  <c r="P9" i="13"/>
  <c r="J32" i="20" l="1"/>
  <c r="I33" i="20"/>
  <c r="I12" i="13"/>
  <c r="J11" i="13"/>
  <c r="P11" i="13" s="1"/>
  <c r="Q9" i="13"/>
  <c r="S10" i="13" s="1"/>
  <c r="I19" i="20"/>
  <c r="J17" i="20"/>
  <c r="P17" i="20" s="1"/>
  <c r="Q10" i="13" l="1"/>
  <c r="S11" i="13" s="1"/>
  <c r="I34" i="20"/>
  <c r="J33" i="20"/>
  <c r="P33" i="20" s="1"/>
  <c r="P32" i="20"/>
  <c r="I20" i="20"/>
  <c r="J19" i="20"/>
  <c r="I13" i="13"/>
  <c r="J12" i="13"/>
  <c r="P12" i="13" s="1"/>
  <c r="Q11" i="13" l="1"/>
  <c r="S12" i="13" s="1"/>
  <c r="Q32" i="20"/>
  <c r="S33" i="20" s="1"/>
  <c r="J34" i="20"/>
  <c r="I35" i="20"/>
  <c r="J35" i="20" s="1"/>
  <c r="P35" i="20" s="1"/>
  <c r="J13" i="13"/>
  <c r="I14" i="13"/>
  <c r="P19" i="20"/>
  <c r="J20" i="20"/>
  <c r="P20" i="20" s="1"/>
  <c r="I21" i="20"/>
  <c r="Q12" i="13" l="1"/>
  <c r="S13" i="13" s="1"/>
  <c r="Q33" i="20"/>
  <c r="S34" i="20" s="1"/>
  <c r="P34" i="20"/>
  <c r="Q19" i="20"/>
  <c r="S20" i="20" s="1"/>
  <c r="I22" i="20"/>
  <c r="J22" i="20" s="1"/>
  <c r="P22" i="20" s="1"/>
  <c r="J21" i="20"/>
  <c r="I15" i="13"/>
  <c r="J14" i="13"/>
  <c r="P14" i="13" s="1"/>
  <c r="P13" i="13"/>
  <c r="Q13" i="13" s="1"/>
  <c r="S14" i="13" s="1"/>
  <c r="Q20" i="20" l="1"/>
  <c r="S21" i="20" s="1"/>
  <c r="Q34" i="20"/>
  <c r="S35" i="20" s="1"/>
  <c r="P21" i="20"/>
  <c r="J31" i="20"/>
  <c r="Y26" i="20" s="1"/>
  <c r="I16" i="13"/>
  <c r="J15" i="13"/>
  <c r="F3" i="1"/>
  <c r="I3" i="1" s="1"/>
  <c r="L3" i="1" s="1"/>
  <c r="O3" i="1" s="1"/>
  <c r="R3" i="1" s="1"/>
  <c r="U3" i="1" s="1"/>
  <c r="Q35" i="20" l="1"/>
  <c r="S36" i="20" s="1"/>
  <c r="P15" i="13"/>
  <c r="I17" i="13"/>
  <c r="J17" i="13" s="1"/>
  <c r="P17" i="13" s="1"/>
  <c r="J16" i="13"/>
  <c r="P16" i="13" s="1"/>
  <c r="Q14" i="13"/>
  <c r="S15" i="13" s="1"/>
  <c r="Q21" i="20"/>
  <c r="S22" i="20" s="1"/>
  <c r="P31" i="20"/>
  <c r="T39" i="20" l="1"/>
  <c r="T40" i="20"/>
  <c r="T41" i="20"/>
  <c r="T42" i="20"/>
  <c r="T43" i="20"/>
  <c r="T32" i="20"/>
  <c r="T33" i="20"/>
  <c r="T34" i="20"/>
  <c r="T35" i="20"/>
  <c r="T36" i="20"/>
  <c r="T38" i="20"/>
  <c r="T37" i="20"/>
  <c r="Q15" i="13"/>
  <c r="S16" i="13" s="1"/>
  <c r="P18" i="13"/>
  <c r="Q22" i="20"/>
  <c r="S23" i="20" s="1"/>
  <c r="J18" i="13"/>
  <c r="Y13" i="13" s="1"/>
  <c r="Y14" i="13" s="1"/>
  <c r="E37" i="13" s="1"/>
  <c r="T30" i="13" l="1"/>
  <c r="T20" i="13"/>
  <c r="T19" i="13"/>
  <c r="T24" i="13"/>
  <c r="T23" i="13"/>
  <c r="T21" i="13"/>
  <c r="T22" i="13"/>
  <c r="T25" i="13"/>
  <c r="T26" i="13"/>
  <c r="T28" i="13"/>
  <c r="T29" i="13"/>
  <c r="T27" i="13"/>
  <c r="D19" i="12"/>
  <c r="Q23" i="20"/>
  <c r="S24" i="20" s="1"/>
  <c r="Q16" i="13"/>
  <c r="S17" i="13" s="1"/>
  <c r="Q24" i="20" l="1"/>
  <c r="S25" i="20" s="1"/>
  <c r="D32" i="12"/>
  <c r="D33" i="12" s="1"/>
  <c r="D22" i="12"/>
  <c r="Q17" i="13"/>
  <c r="S18" i="13" l="1"/>
  <c r="D34" i="12" s="1"/>
  <c r="G36" i="12" s="1"/>
  <c r="Q25" i="20"/>
  <c r="S26" i="20" s="1"/>
  <c r="D37" i="12" l="1"/>
  <c r="Q26" i="20"/>
  <c r="S27" i="20" s="1"/>
  <c r="T31" i="13" l="1"/>
  <c r="E35" i="12"/>
  <c r="Y38" i="13"/>
  <c r="Q27" i="20"/>
  <c r="S28" i="20" s="1"/>
  <c r="Q28" i="20" l="1"/>
  <c r="S29" i="20" s="1"/>
  <c r="Q29" i="20" l="1"/>
  <c r="S30" i="20" s="1"/>
  <c r="E38" i="13" l="1"/>
  <c r="N56" i="13" s="1"/>
  <c r="Q30" i="20"/>
  <c r="N52" i="13" l="1"/>
  <c r="N61" i="13"/>
  <c r="E39" i="13"/>
  <c r="N59" i="13"/>
  <c r="N58" i="13"/>
  <c r="N50" i="13"/>
  <c r="N51" i="13"/>
  <c r="N53" i="13"/>
  <c r="N55" i="13"/>
  <c r="N60" i="13"/>
  <c r="N54" i="13"/>
  <c r="N49" i="13"/>
  <c r="X50" i="13"/>
  <c r="S31" i="20"/>
  <c r="O41" i="13"/>
  <c r="O35" i="13"/>
  <c r="O36" i="13"/>
  <c r="O33" i="13"/>
  <c r="O34" i="13"/>
  <c r="O42" i="13"/>
  <c r="O37" i="13"/>
  <c r="O43" i="13"/>
  <c r="O38" i="13"/>
  <c r="O39" i="13"/>
  <c r="O40" i="13"/>
  <c r="N44" i="13" l="1"/>
  <c r="O32" i="13"/>
  <c r="T44" i="20" l="1"/>
  <c r="O44" i="13"/>
  <c r="J18" i="20" l="1"/>
  <c r="Y13" i="20" s="1"/>
  <c r="Y14" i="20" s="1"/>
  <c r="E37" i="20" s="1"/>
  <c r="E52" i="20" l="1"/>
  <c r="P18" i="20"/>
  <c r="T19" i="20" l="1"/>
  <c r="T21" i="20"/>
  <c r="T20" i="20"/>
  <c r="T22" i="20"/>
  <c r="T23" i="20"/>
  <c r="T28" i="20"/>
  <c r="T24" i="20"/>
  <c r="T25" i="20"/>
  <c r="T26" i="20"/>
  <c r="T27" i="20"/>
  <c r="T29" i="20"/>
  <c r="T30" i="20"/>
  <c r="Q12" i="20" l="1"/>
  <c r="S13" i="20" s="1"/>
  <c r="Q13" i="20" l="1"/>
  <c r="S14" i="20" s="1"/>
  <c r="Y25" i="20" l="1"/>
  <c r="Y27" i="20" s="1"/>
  <c r="E51" i="20" s="1"/>
  <c r="Q14" i="20"/>
  <c r="S15" i="20" s="1"/>
  <c r="X50" i="20" l="1"/>
  <c r="Y51" i="20" s="1"/>
  <c r="Q15" i="20"/>
  <c r="S16" i="20" s="1"/>
  <c r="O47" i="20" l="1"/>
  <c r="O48" i="20"/>
  <c r="O46" i="20"/>
  <c r="Q16" i="20"/>
  <c r="S17" i="20" s="1"/>
  <c r="O45" i="20" l="1"/>
  <c r="Q17" i="20"/>
  <c r="S18" i="20" l="1"/>
  <c r="T31" i="20" l="1"/>
  <c r="X37" i="20" l="1"/>
  <c r="Y38" i="20" s="1"/>
  <c r="E40" i="20"/>
  <c r="E43" i="20" s="1"/>
  <c r="I36" i="20" s="1"/>
  <c r="N51" i="20"/>
  <c r="O51" i="20" s="1"/>
  <c r="D25" i="12"/>
  <c r="G8" i="12" s="1"/>
  <c r="I37" i="20" l="1"/>
  <c r="J36" i="20"/>
  <c r="N52" i="20"/>
  <c r="O52" i="20" s="1"/>
  <c r="N55" i="20"/>
  <c r="O55" i="20" s="1"/>
  <c r="N53" i="20"/>
  <c r="O53" i="20" s="1"/>
  <c r="N49" i="20"/>
  <c r="O49" i="20" s="1"/>
  <c r="N50" i="20"/>
  <c r="O50" i="20" s="1"/>
  <c r="N56" i="20"/>
  <c r="O56" i="20" s="1"/>
  <c r="E55" i="20"/>
  <c r="I49" i="20" s="1"/>
  <c r="N54" i="20"/>
  <c r="O54" i="20" s="1"/>
  <c r="F17" i="12"/>
  <c r="G16" i="12"/>
  <c r="F9" i="12"/>
  <c r="F13" i="12" s="1"/>
  <c r="P36" i="20" l="1"/>
  <c r="I38" i="20"/>
  <c r="J37" i="20"/>
  <c r="P37" i="20" s="1"/>
  <c r="O57" i="20"/>
  <c r="J49" i="20"/>
  <c r="P49" i="20" s="1"/>
  <c r="I50" i="20"/>
  <c r="N57" i="20"/>
  <c r="I33" i="13"/>
  <c r="J23" i="13"/>
  <c r="P23" i="13" s="1"/>
  <c r="J38" i="20" l="1"/>
  <c r="P38" i="20" s="1"/>
  <c r="I39" i="20"/>
  <c r="Q36" i="20"/>
  <c r="S37" i="20" s="1"/>
  <c r="J50" i="20"/>
  <c r="P50" i="20" s="1"/>
  <c r="I51" i="20"/>
  <c r="I24" i="13"/>
  <c r="I25" i="13" s="1"/>
  <c r="I26" i="13" s="1"/>
  <c r="J26" i="13" s="1"/>
  <c r="P26" i="13" s="1"/>
  <c r="Q23" i="13"/>
  <c r="S24" i="13" s="1"/>
  <c r="I34" i="13"/>
  <c r="J33" i="13"/>
  <c r="P33" i="13" s="1"/>
  <c r="J32" i="13"/>
  <c r="Q37" i="20" l="1"/>
  <c r="S38" i="20" s="1"/>
  <c r="J39" i="20"/>
  <c r="P39" i="20" s="1"/>
  <c r="I40" i="20"/>
  <c r="J51" i="20"/>
  <c r="P51" i="20" s="1"/>
  <c r="I52" i="20"/>
  <c r="J25" i="13"/>
  <c r="P25" i="13" s="1"/>
  <c r="J24" i="13"/>
  <c r="P24" i="13" s="1"/>
  <c r="Q24" i="13" s="1"/>
  <c r="S25" i="13" s="1"/>
  <c r="I27" i="13"/>
  <c r="I28" i="13" s="1"/>
  <c r="P32" i="13"/>
  <c r="J34" i="13"/>
  <c r="P34" i="13" s="1"/>
  <c r="I35" i="13"/>
  <c r="J35" i="13" s="1"/>
  <c r="P35" i="13" s="1"/>
  <c r="J40" i="20" l="1"/>
  <c r="P40" i="20" s="1"/>
  <c r="I41" i="20"/>
  <c r="Q38" i="20"/>
  <c r="S39" i="20" s="1"/>
  <c r="J52" i="20"/>
  <c r="P52" i="20" s="1"/>
  <c r="I53" i="20"/>
  <c r="J27" i="13"/>
  <c r="P27" i="13" s="1"/>
  <c r="Q32" i="13"/>
  <c r="S33" i="13" s="1"/>
  <c r="I29" i="13"/>
  <c r="J28" i="13"/>
  <c r="P28" i="13" s="1"/>
  <c r="Q25" i="13"/>
  <c r="S26" i="13" s="1"/>
  <c r="Q39" i="20" l="1"/>
  <c r="S40" i="20" s="1"/>
  <c r="I42" i="20"/>
  <c r="J41" i="20"/>
  <c r="P41" i="20" s="1"/>
  <c r="Q40" i="20"/>
  <c r="S41" i="20" s="1"/>
  <c r="J53" i="20"/>
  <c r="P53" i="20" s="1"/>
  <c r="I54" i="20"/>
  <c r="Q26" i="13"/>
  <c r="S27" i="13" s="1"/>
  <c r="I30" i="13"/>
  <c r="J30" i="13" s="1"/>
  <c r="P30" i="13" s="1"/>
  <c r="J29" i="13"/>
  <c r="Q33" i="13"/>
  <c r="S34" i="13" s="1"/>
  <c r="Q41" i="20" l="1"/>
  <c r="S42" i="20" s="1"/>
  <c r="I43" i="20"/>
  <c r="J42" i="20"/>
  <c r="P42" i="20" s="1"/>
  <c r="I55" i="20"/>
  <c r="J54" i="20"/>
  <c r="P54" i="20" s="1"/>
  <c r="Q34" i="13"/>
  <c r="S35" i="13" s="1"/>
  <c r="Q27" i="13"/>
  <c r="S28" i="13" s="1"/>
  <c r="P29" i="13"/>
  <c r="J31" i="13"/>
  <c r="Y26" i="13" s="1"/>
  <c r="Y27" i="13" s="1"/>
  <c r="E50" i="13" s="1"/>
  <c r="Q42" i="20" l="1"/>
  <c r="S43" i="20" s="1"/>
  <c r="J43" i="20"/>
  <c r="I45" i="20"/>
  <c r="J55" i="20"/>
  <c r="I56" i="20"/>
  <c r="J56" i="20" s="1"/>
  <c r="P56" i="20" s="1"/>
  <c r="E19" i="12"/>
  <c r="Q28" i="13"/>
  <c r="S29" i="13" s="1"/>
  <c r="P31" i="13"/>
  <c r="Q35" i="13"/>
  <c r="S36" i="13" s="1"/>
  <c r="P43" i="20" l="1"/>
  <c r="J44" i="20"/>
  <c r="Y39" i="20" s="1"/>
  <c r="Y40" i="20" s="1"/>
  <c r="I46" i="20"/>
  <c r="J45" i="20"/>
  <c r="P45" i="20" s="1"/>
  <c r="Q45" i="20" s="1"/>
  <c r="S46" i="20" s="1"/>
  <c r="T38" i="13"/>
  <c r="T39" i="13"/>
  <c r="T41" i="13"/>
  <c r="T42" i="13"/>
  <c r="T40" i="13"/>
  <c r="T32" i="13"/>
  <c r="T36" i="13"/>
  <c r="T33" i="13"/>
  <c r="T34" i="13"/>
  <c r="T35" i="13"/>
  <c r="T37" i="13"/>
  <c r="T43" i="13"/>
  <c r="P55" i="20"/>
  <c r="E32" i="12"/>
  <c r="E22" i="12"/>
  <c r="Q29" i="13"/>
  <c r="Q43" i="20" l="1"/>
  <c r="S44" i="20" s="1"/>
  <c r="P44" i="20"/>
  <c r="J46" i="20"/>
  <c r="P46" i="20" s="1"/>
  <c r="Q46" i="20" s="1"/>
  <c r="S47" i="20" s="1"/>
  <c r="I47" i="20"/>
  <c r="Q30" i="13"/>
  <c r="S30" i="13"/>
  <c r="E33" i="12"/>
  <c r="T50" i="20" l="1"/>
  <c r="T51" i="20"/>
  <c r="T52" i="20"/>
  <c r="T53" i="20"/>
  <c r="T54" i="20"/>
  <c r="T56" i="20"/>
  <c r="T47" i="20"/>
  <c r="T48" i="20"/>
  <c r="T46" i="20"/>
  <c r="T45" i="20"/>
  <c r="T49" i="20"/>
  <c r="T55" i="20"/>
  <c r="I48" i="20"/>
  <c r="J48" i="20" s="1"/>
  <c r="P48" i="20" s="1"/>
  <c r="J47" i="20"/>
  <c r="S31" i="13"/>
  <c r="P47" i="20" l="1"/>
  <c r="J57" i="20"/>
  <c r="Y52" i="20" s="1"/>
  <c r="Y53" i="20" s="1"/>
  <c r="T57" i="20"/>
  <c r="E34" i="12"/>
  <c r="H36" i="12" s="1"/>
  <c r="Q47" i="20" l="1"/>
  <c r="P57" i="20"/>
  <c r="T44" i="13"/>
  <c r="E37" i="12"/>
  <c r="S48" i="20" l="1"/>
  <c r="Q48" i="20"/>
  <c r="F35" i="12"/>
  <c r="S49" i="20" l="1"/>
  <c r="Q49" i="20"/>
  <c r="G9" i="12"/>
  <c r="G13" i="12" s="1"/>
  <c r="G17" i="12"/>
  <c r="S50" i="20" l="1"/>
  <c r="Q50" i="20"/>
  <c r="E25" i="12"/>
  <c r="H16" i="12" s="1"/>
  <c r="E51" i="13"/>
  <c r="Y51" i="13"/>
  <c r="O54" i="13"/>
  <c r="O46" i="13"/>
  <c r="O51" i="13"/>
  <c r="O55" i="13"/>
  <c r="O49" i="13"/>
  <c r="O48" i="13"/>
  <c r="O52" i="13"/>
  <c r="O47" i="13"/>
  <c r="O53" i="13"/>
  <c r="O50" i="13"/>
  <c r="O56" i="13"/>
  <c r="S51" i="20" l="1"/>
  <c r="Q51" i="20"/>
  <c r="E52" i="13"/>
  <c r="E56" i="13" s="1"/>
  <c r="H8" i="12"/>
  <c r="N67" i="13"/>
  <c r="N62" i="13"/>
  <c r="N68" i="13"/>
  <c r="X63" i="13"/>
  <c r="N66" i="13"/>
  <c r="N63" i="13"/>
  <c r="N65" i="13"/>
  <c r="N64" i="13"/>
  <c r="N69" i="13"/>
  <c r="N57" i="13"/>
  <c r="O45" i="13"/>
  <c r="S52" i="20" l="1"/>
  <c r="Q52" i="20"/>
  <c r="I49" i="13"/>
  <c r="I58" i="13"/>
  <c r="G31" i="12"/>
  <c r="J58" i="13"/>
  <c r="I59" i="13"/>
  <c r="I50" i="13"/>
  <c r="J49" i="13"/>
  <c r="O57" i="13"/>
  <c r="S53" i="20" l="1"/>
  <c r="Q53" i="20"/>
  <c r="P49" i="13"/>
  <c r="I51" i="13"/>
  <c r="J50" i="13"/>
  <c r="P50" i="13" s="1"/>
  <c r="J59" i="13"/>
  <c r="I60" i="13"/>
  <c r="S54" i="20" l="1"/>
  <c r="Q54" i="20"/>
  <c r="J60" i="13"/>
  <c r="I61" i="13"/>
  <c r="J61" i="13" s="1"/>
  <c r="J51" i="13"/>
  <c r="I52" i="13"/>
  <c r="S55" i="20" l="1"/>
  <c r="Q55" i="20"/>
  <c r="I53" i="13"/>
  <c r="J52" i="13"/>
  <c r="P52" i="13" s="1"/>
  <c r="P51" i="13"/>
  <c r="S56" i="20" l="1"/>
  <c r="S57" i="20" s="1"/>
  <c r="Q56" i="20"/>
  <c r="I54" i="13"/>
  <c r="J53" i="13"/>
  <c r="O61" i="13" l="1"/>
  <c r="P61" i="13" s="1"/>
  <c r="P53" i="13"/>
  <c r="I55" i="13"/>
  <c r="J54" i="13"/>
  <c r="P54" i="13" s="1"/>
  <c r="O60" i="13" l="1"/>
  <c r="P60" i="13" s="1"/>
  <c r="O59" i="13"/>
  <c r="P59" i="13" s="1"/>
  <c r="J55" i="13"/>
  <c r="P55" i="13" s="1"/>
  <c r="I56" i="13"/>
  <c r="J56" i="13" s="1"/>
  <c r="P56" i="13" s="1"/>
  <c r="O58" i="13"/>
  <c r="P58" i="13" l="1"/>
  <c r="Q58" i="13" l="1"/>
  <c r="S59" i="13" s="1"/>
  <c r="Q59" i="13" l="1"/>
  <c r="S60" i="13" s="1"/>
  <c r="Q60" i="13" l="1"/>
  <c r="S61" i="13" s="1"/>
  <c r="Q61" i="13" l="1"/>
  <c r="S62" i="13" s="1"/>
  <c r="O64" i="13" l="1"/>
  <c r="O67" i="13"/>
  <c r="O66" i="13"/>
  <c r="O63" i="13"/>
  <c r="O68" i="13"/>
  <c r="N70" i="13"/>
  <c r="O62" i="13"/>
  <c r="O69" i="13"/>
  <c r="O65" i="13"/>
  <c r="O70" i="13" l="1"/>
  <c r="F31" i="12" l="1"/>
  <c r="E43" i="13"/>
  <c r="I36" i="13" s="1"/>
  <c r="J36" i="13" l="1"/>
  <c r="I37" i="13"/>
  <c r="I38" i="13" l="1"/>
  <c r="J37" i="13"/>
  <c r="P37" i="13" s="1"/>
  <c r="P36" i="13"/>
  <c r="Q36" i="13" l="1"/>
  <c r="S37" i="13" s="1"/>
  <c r="I39" i="13"/>
  <c r="J38" i="13"/>
  <c r="P38" i="13" s="1"/>
  <c r="J39" i="13" l="1"/>
  <c r="P39" i="13" s="1"/>
  <c r="I40" i="13"/>
  <c r="Q37" i="13"/>
  <c r="S38" i="13" s="1"/>
  <c r="Q38" i="13" l="1"/>
  <c r="S39" i="13" s="1"/>
  <c r="J40" i="13"/>
  <c r="P40" i="13" s="1"/>
  <c r="I41" i="13"/>
  <c r="Q39" i="13" l="1"/>
  <c r="S40" i="13" s="1"/>
  <c r="I42" i="13"/>
  <c r="J41" i="13"/>
  <c r="P41" i="13" s="1"/>
  <c r="Q40" i="13" l="1"/>
  <c r="S41" i="13" s="1"/>
  <c r="I43" i="13"/>
  <c r="J42" i="13"/>
  <c r="P42" i="13" s="1"/>
  <c r="Q41" i="13" l="1"/>
  <c r="S42" i="13" s="1"/>
  <c r="J43" i="13"/>
  <c r="I45" i="13"/>
  <c r="Q42" i="13" l="1"/>
  <c r="S43" i="13" s="1"/>
  <c r="J45" i="13"/>
  <c r="I46" i="13"/>
  <c r="P43" i="13"/>
  <c r="J44" i="13"/>
  <c r="Y39" i="13" s="1"/>
  <c r="J46" i="13" l="1"/>
  <c r="P46" i="13" s="1"/>
  <c r="I47" i="13"/>
  <c r="F19" i="12"/>
  <c r="F22" i="12" s="1"/>
  <c r="Y40" i="13"/>
  <c r="Q43" i="13"/>
  <c r="S44" i="13" s="1"/>
  <c r="P44" i="13"/>
  <c r="P45" i="13"/>
  <c r="T56" i="13" l="1"/>
  <c r="T45" i="13"/>
  <c r="T46" i="13"/>
  <c r="T55" i="13"/>
  <c r="T47" i="13"/>
  <c r="T53" i="13"/>
  <c r="T48" i="13"/>
  <c r="T49" i="13"/>
  <c r="T52" i="13"/>
  <c r="T50" i="13"/>
  <c r="T54" i="13"/>
  <c r="T51" i="13"/>
  <c r="Q45" i="13"/>
  <c r="S46" i="13" s="1"/>
  <c r="F32" i="12"/>
  <c r="J47" i="13"/>
  <c r="I48" i="13"/>
  <c r="J48" i="13" s="1"/>
  <c r="P48" i="13" s="1"/>
  <c r="F23" i="12"/>
  <c r="F34" i="12" s="1"/>
  <c r="Q46" i="13" l="1"/>
  <c r="S47" i="13" s="1"/>
  <c r="F33" i="12"/>
  <c r="T57" i="13"/>
  <c r="P47" i="13"/>
  <c r="J57" i="13"/>
  <c r="Y52" i="13" s="1"/>
  <c r="F24" i="12" l="1"/>
  <c r="G35" i="12"/>
  <c r="G19" i="12"/>
  <c r="Y53" i="13"/>
  <c r="Q47" i="13"/>
  <c r="S48" i="13" s="1"/>
  <c r="P57" i="13"/>
  <c r="F37" i="12"/>
  <c r="T66" i="13" l="1"/>
  <c r="T58" i="13"/>
  <c r="T59" i="13"/>
  <c r="T67" i="13"/>
  <c r="T60" i="13"/>
  <c r="T64" i="13"/>
  <c r="T68" i="13"/>
  <c r="T65" i="13"/>
  <c r="T69" i="13"/>
  <c r="G32" i="12"/>
  <c r="G22" i="12"/>
  <c r="Q48" i="13"/>
  <c r="S49" i="13" s="1"/>
  <c r="F25" i="12"/>
  <c r="Q49" i="13" l="1"/>
  <c r="S50" i="13" s="1"/>
  <c r="H17" i="12"/>
  <c r="H9" i="12"/>
  <c r="H13" i="12" s="1"/>
  <c r="G33" i="12"/>
  <c r="Y64" i="13" l="1"/>
  <c r="E64" i="13"/>
  <c r="E65" i="13" s="1"/>
  <c r="E69" i="13" s="1"/>
  <c r="I62" i="13" s="1"/>
  <c r="Q50" i="13"/>
  <c r="S51" i="13" s="1"/>
  <c r="H31" i="12" l="1"/>
  <c r="I63" i="13"/>
  <c r="J62" i="13"/>
  <c r="Q51" i="13"/>
  <c r="S52" i="13" s="1"/>
  <c r="P62" i="13" l="1"/>
  <c r="Q62" i="13"/>
  <c r="S63" i="13" s="1"/>
  <c r="J63" i="13"/>
  <c r="P63" i="13" s="1"/>
  <c r="Q63" i="13" s="1"/>
  <c r="S64" i="13" s="1"/>
  <c r="I64" i="13"/>
  <c r="Q52" i="13"/>
  <c r="S53" i="13" s="1"/>
  <c r="J64" i="13" l="1"/>
  <c r="P64" i="13" s="1"/>
  <c r="Q64" i="13" s="1"/>
  <c r="S65" i="13" s="1"/>
  <c r="I65" i="13"/>
  <c r="Q53" i="13"/>
  <c r="S54" i="13" s="1"/>
  <c r="I66" i="13" l="1"/>
  <c r="J65" i="13"/>
  <c r="P65" i="13" s="1"/>
  <c r="Q65" i="13" s="1"/>
  <c r="S66" i="13" s="1"/>
  <c r="Q54" i="13"/>
  <c r="S55" i="13" s="1"/>
  <c r="J66" i="13" l="1"/>
  <c r="P66" i="13" s="1"/>
  <c r="Q66" i="13" s="1"/>
  <c r="S67" i="13" s="1"/>
  <c r="I67" i="13"/>
  <c r="Q55" i="13"/>
  <c r="S56" i="13" s="1"/>
  <c r="J67" i="13" l="1"/>
  <c r="P67" i="13" s="1"/>
  <c r="Q67" i="13" s="1"/>
  <c r="S68" i="13" s="1"/>
  <c r="I68" i="13"/>
  <c r="Q56" i="13"/>
  <c r="I69" i="13" l="1"/>
  <c r="J69" i="13" s="1"/>
  <c r="J68" i="13"/>
  <c r="P68" i="13" s="1"/>
  <c r="Q68" i="13" s="1"/>
  <c r="S69" i="13" s="1"/>
  <c r="S70" i="13" s="1"/>
  <c r="S57" i="13"/>
  <c r="H23" i="12" l="1"/>
  <c r="H34" i="12" s="1"/>
  <c r="P69" i="13"/>
  <c r="P70" i="13" s="1"/>
  <c r="J70" i="13"/>
  <c r="Y65" i="13" s="1"/>
  <c r="Q69" i="13"/>
  <c r="G23" i="12"/>
  <c r="H19" i="12" l="1"/>
  <c r="Y66" i="13"/>
  <c r="T79" i="13"/>
  <c r="T78" i="13"/>
  <c r="T70" i="13"/>
  <c r="G34" i="12"/>
  <c r="G37" i="12" s="1"/>
  <c r="G24" i="12" l="1"/>
  <c r="Y54" i="13"/>
  <c r="T83" i="13"/>
  <c r="H32" i="12"/>
  <c r="H33" i="12" s="1"/>
  <c r="H22" i="12"/>
  <c r="H35" i="12"/>
  <c r="H24" i="12" l="1"/>
  <c r="Y67" i="13"/>
  <c r="H25" i="12"/>
  <c r="H37" i="12"/>
  <c r="G25" i="12" l="1"/>
</calcChain>
</file>

<file path=xl/sharedStrings.xml><?xml version="1.0" encoding="utf-8"?>
<sst xmlns="http://schemas.openxmlformats.org/spreadsheetml/2006/main" count="703" uniqueCount="231">
  <si>
    <t xml:space="preserve">January </t>
  </si>
  <si>
    <t xml:space="preserve">February 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</si>
  <si>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</si>
  <si>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</si>
  <si>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</si>
  <si>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</si>
  <si>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</si>
  <si>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</si>
  <si>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</si>
  <si>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</si>
  <si>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</si>
  <si>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</si>
  <si>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GA ($/kWh)</t>
  </si>
  <si>
    <t>Brookfield kWh</t>
  </si>
  <si>
    <t>Total</t>
  </si>
  <si>
    <t>2023 (Jan-May)</t>
  </si>
  <si>
    <t>GA Savings</t>
  </si>
  <si>
    <t>Rate ($/kWh)</t>
  </si>
  <si>
    <t>Customer Volumes (kWh)</t>
  </si>
  <si>
    <t>Variance</t>
  </si>
  <si>
    <t>Interest</t>
  </si>
  <si>
    <t>Cumulative Variance</t>
  </si>
  <si>
    <t>Interest $</t>
  </si>
  <si>
    <t>Interest %</t>
  </si>
  <si>
    <t>A</t>
  </si>
  <si>
    <t>B</t>
  </si>
  <si>
    <t>D</t>
  </si>
  <si>
    <t>F</t>
  </si>
  <si>
    <t>G</t>
  </si>
  <si>
    <t>J</t>
  </si>
  <si>
    <t>C = A * B</t>
  </si>
  <si>
    <t>E = D / 2</t>
  </si>
  <si>
    <t>F = D / 2</t>
  </si>
  <si>
    <t>Paid to Brookfield</t>
  </si>
  <si>
    <t>Owed to Customers</t>
  </si>
  <si>
    <t>Credited to Customers</t>
  </si>
  <si>
    <t>Interest on Variance</t>
  </si>
  <si>
    <t>Q4 2023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</si>
  <si>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</si>
  <si>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</si>
  <si>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</si>
  <si>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</si>
  <si>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</si>
  <si>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</si>
  <si>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</si>
  <si>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</si>
  <si>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Q3 2021</t>
  </si>
  <si>
    <t>Q2 2021</t>
  </si>
  <si>
    <t>Q1 2021</t>
  </si>
  <si>
    <t>Q4 2020</t>
  </si>
  <si>
    <t>Q3 2020</t>
  </si>
  <si>
    <t>Q2 2020</t>
  </si>
  <si>
    <t>Q1 2020</t>
  </si>
  <si>
    <t>RPP Report</t>
  </si>
  <si>
    <t>Waltham Volumes (kWh)</t>
  </si>
  <si>
    <t>$/MWh</t>
  </si>
  <si>
    <t>Oct. 2019 Report</t>
  </si>
  <si>
    <t>Oct. 2020 Report</t>
  </si>
  <si>
    <t>Oct. 2021 Report</t>
  </si>
  <si>
    <t>Oct. 2022 Report</t>
  </si>
  <si>
    <t>Loss-Adjusted Customer kWh Volumes</t>
  </si>
  <si>
    <t>DVA Variance Interest Rates</t>
  </si>
  <si>
    <t>Apr. 2018 Report</t>
  </si>
  <si>
    <t>Q1 2019</t>
  </si>
  <si>
    <t>Q2 2019</t>
  </si>
  <si>
    <t>Q3 2019</t>
  </si>
  <si>
    <t>Q4 2019</t>
  </si>
  <si>
    <t>Actual credited to customers</t>
  </si>
  <si>
    <t>Actual customer share of GA savings</t>
  </si>
  <si>
    <t>Add'l Interest before disposition</t>
  </si>
  <si>
    <t>Variance Total</t>
  </si>
  <si>
    <t>Global Adjustment Forecast</t>
  </si>
  <si>
    <t>Customer Share</t>
  </si>
  <si>
    <t>Variance Disposition</t>
  </si>
  <si>
    <t>Variances</t>
  </si>
  <si>
    <t>H = F + G</t>
  </si>
  <si>
    <t>I = H - C</t>
  </si>
  <si>
    <t>K</t>
  </si>
  <si>
    <t>L = J * L</t>
  </si>
  <si>
    <t>Variance Disposal (2-year lag)</t>
  </si>
  <si>
    <t>Variance to include in rate</t>
  </si>
  <si>
    <t>Actual customer share inc'l variances</t>
  </si>
  <si>
    <t>Actual</t>
  </si>
  <si>
    <t>Forecast (actual of last year)</t>
  </si>
  <si>
    <t>Forecast (RPP Report)</t>
  </si>
  <si>
    <t>Forecast (3-year historic average)</t>
  </si>
  <si>
    <t>Actual (calculated below)</t>
  </si>
  <si>
    <t>(= GA$/kWh * Forecast volumes * 0.5)</t>
  </si>
  <si>
    <t>Forecast Global Adjustment ($/kWh)</t>
  </si>
  <si>
    <t>Forecast Waltham Volumes (kWh)</t>
  </si>
  <si>
    <t>Forecast Total Customer kWh</t>
  </si>
  <si>
    <t>Difference between forecast and actual</t>
  </si>
  <si>
    <t>Year-End Balance</t>
  </si>
  <si>
    <t>Interest (in year)</t>
  </si>
  <si>
    <t>Actuals are incomplete</t>
  </si>
  <si>
    <t>Lagged Interest</t>
  </si>
  <si>
    <t>Calcultion as if GA was not applied to Waltham before July 2023</t>
  </si>
  <si>
    <t>Oct. 2023 RPP Report</t>
  </si>
  <si>
    <t>2022 Actual Volumes (RRR values in IRM model)</t>
  </si>
  <si>
    <t>Oct. 2024 RPP Report</t>
  </si>
  <si>
    <t>2023 Actual Volumes (RRR values in IRM model)</t>
  </si>
  <si>
    <t>Brookfield GA</t>
  </si>
  <si>
    <t>Calendar Year</t>
  </si>
  <si>
    <t>Purchased Power-Adjustment</t>
  </si>
  <si>
    <t>Summary</t>
  </si>
  <si>
    <t>GA Savings on Waltham Energy</t>
  </si>
  <si>
    <t>Forecast rate (changes each May)</t>
  </si>
  <si>
    <t>Actual amount credited to customers</t>
  </si>
  <si>
    <t>Actual avoided GA (Waltham volumes * GA $/kWh)</t>
  </si>
  <si>
    <t>Actual half paid to Brookfield</t>
  </si>
  <si>
    <t>Actual half to be credited to customers</t>
  </si>
  <si>
    <t>Difference between what was actually credited to customers and what should be</t>
  </si>
  <si>
    <t>Cumulative variance used to calculate variances</t>
  </si>
  <si>
    <t>OEB's DVA interest rate</t>
  </si>
  <si>
    <t>Monthly interest on variances</t>
  </si>
  <si>
    <t>Total GA avoided (Waltham kWh * GA $/kWh)</t>
  </si>
  <si>
    <t>Amount that should be credited to customers</t>
  </si>
  <si>
    <t>Amount to be credited to customers including variances</t>
  </si>
  <si>
    <t>Variance to be disposed in 2022</t>
  </si>
  <si>
    <t>Interest on variance to be disposed in 2022</t>
  </si>
  <si>
    <t>Variance to be disposed in 2023</t>
  </si>
  <si>
    <t>Interest on variance to be disposed in 2023</t>
  </si>
  <si>
    <t>Variance to be disposed in 2024</t>
  </si>
  <si>
    <t>Interest on variance to be disposed in 2024</t>
  </si>
  <si>
    <t>Variance to be disposed in 2025</t>
  </si>
  <si>
    <t>Interest on variance to be disposed in 2025</t>
  </si>
  <si>
    <t>Forecast GA ($/kWh)</t>
  </si>
  <si>
    <t>Forecast GA Savings ($)</t>
  </si>
  <si>
    <t>Total Customer Volumes (kWh)</t>
  </si>
  <si>
    <t>Variance from previous years ($)</t>
  </si>
  <si>
    <t>Interest on variance ($)</t>
  </si>
  <si>
    <t>Input Cells</t>
  </si>
  <si>
    <t>Purchasd Power Adjustmnet</t>
  </si>
  <si>
    <t>Variance to be disposed in 2026</t>
  </si>
  <si>
    <t>Interest on variance to be disposed in 2026</t>
  </si>
  <si>
    <t>Variance to be disposed in 2027</t>
  </si>
  <si>
    <t>Interest on variance to be disposed in 2027</t>
  </si>
  <si>
    <t>GA Paid on Waltham energy</t>
  </si>
  <si>
    <t xml:space="preserve">2023/24 Overcollection </t>
  </si>
  <si>
    <t>Cumulative Credit</t>
  </si>
  <si>
    <t>Customer Share Owed to Customers</t>
  </si>
  <si>
    <t>Amount to be credited to customers in 2025</t>
  </si>
  <si>
    <t>Interest on balance owed to customers in 2025</t>
  </si>
  <si>
    <t>Amount to be credited to customers in 2026</t>
  </si>
  <si>
    <t>Interest on balance owed to customers in 2026</t>
  </si>
  <si>
    <t>Dispostion of 2023 Overcollection</t>
  </si>
  <si>
    <t>Dispostion of 2024 Overcollection</t>
  </si>
  <si>
    <t>Month</t>
  </si>
  <si>
    <t>Total Forecast GA Savings ($)</t>
  </si>
  <si>
    <t>Forecast net GA Savings ($)</t>
  </si>
  <si>
    <t>Forecast net GA Savings</t>
  </si>
  <si>
    <t>2019-2022 Average Waltham Volumes</t>
  </si>
  <si>
    <t>2020-2023 Average Waltham Volumes</t>
  </si>
  <si>
    <t>2021-2024 Average Waltham Volumes</t>
  </si>
  <si>
    <t>2024 Actual Volumes (RRR values in IRM model)</t>
  </si>
  <si>
    <t>(= Actual Net GA Savings + variance)</t>
  </si>
  <si>
    <t>(=Net GA Savings + Variance Disposal)</t>
  </si>
  <si>
    <t>B = A / 2</t>
  </si>
  <si>
    <t>C = A / 2</t>
  </si>
  <si>
    <t>D = C</t>
  </si>
  <si>
    <t>E</t>
  </si>
  <si>
    <t>G = E * F</t>
  </si>
  <si>
    <t>Oct. 2023 Report</t>
  </si>
  <si>
    <t>4-Year Avg.</t>
  </si>
  <si>
    <t>2017 Volumes</t>
  </si>
  <si>
    <t>2018 Volumes</t>
  </si>
  <si>
    <t>Variance from 2019</t>
  </si>
  <si>
    <t>Int. on 2019 var.</t>
  </si>
  <si>
    <t>Total savings * 50%</t>
  </si>
  <si>
    <t>Apr 2018 RPP Report</t>
  </si>
  <si>
    <t>Oct 2019 RPP Report</t>
  </si>
  <si>
    <t>Oct 2020 RPP Report</t>
  </si>
  <si>
    <t>Oct 2021 RPP Report</t>
  </si>
  <si>
    <t>Variance from 2020</t>
  </si>
  <si>
    <t>Int. on 2020 var.</t>
  </si>
  <si>
    <t>2019 Volumes</t>
  </si>
  <si>
    <t>2020 Volumes</t>
  </si>
  <si>
    <t>Oct 2022 RPP Report</t>
  </si>
  <si>
    <t>2021 Volumes</t>
  </si>
  <si>
    <t>Notes</t>
  </si>
  <si>
    <t>(No variance in this year)</t>
  </si>
  <si>
    <t>Actual 2023 Overcollection</t>
  </si>
  <si>
    <t>Actual 2024 Overcollection</t>
  </si>
  <si>
    <t>Net GA Savings</t>
  </si>
  <si>
    <t>2022-2025 Average Waltham Volumes</t>
  </si>
  <si>
    <t>Oct. 2025 RPP Report</t>
  </si>
  <si>
    <t>2025 Actual Volumes (RRR values in IRM model)</t>
  </si>
  <si>
    <t>Variance to be disposed in 2028</t>
  </si>
  <si>
    <t>Interest on variance to be disposed in 2028</t>
  </si>
  <si>
    <t>Interest on variance to be disposed in 2029</t>
  </si>
  <si>
    <t>Variance to be disposed in 2029</t>
  </si>
  <si>
    <t>Variance Disposition &amp; Overcollection</t>
  </si>
  <si>
    <t>Actual amount to be credit to customers, including variances and overcollection</t>
  </si>
  <si>
    <t>Audited Variance from 2024</t>
  </si>
  <si>
    <t>Interest on variance from 2024</t>
  </si>
  <si>
    <t>Interest (lag year 1)</t>
  </si>
  <si>
    <t>H</t>
  </si>
  <si>
    <t>Adjustment for audited variances (3-year lag) and Overcollection</t>
  </si>
  <si>
    <t>Forecast Data</t>
  </si>
  <si>
    <t>Forecast (4-Year Average)</t>
  </si>
  <si>
    <t>z</t>
  </si>
  <si>
    <t>RRR Volumes</t>
  </si>
  <si>
    <t>Power Purchased True-Up Balance and Rate Calculations</t>
  </si>
  <si>
    <t>Forecast Power Purchased True-Up Balance ($)</t>
  </si>
  <si>
    <t xml:space="preserve">Actual amount credited to customers based on actual volumes and forecast Power Purchased True-Up </t>
  </si>
  <si>
    <t>Power Purchased True-Up-2027 ($/kWh)</t>
  </si>
  <si>
    <t>Power Purchased True-Up-2024 ($/kWh)</t>
  </si>
  <si>
    <t>Power Purchased True-Up-2025 ($/kWh)</t>
  </si>
  <si>
    <t>Power Purchased True-Up-2026 ($/kWh)</t>
  </si>
  <si>
    <t>Power Purchased True-Up-2019 ($/kWh)</t>
  </si>
  <si>
    <t>Power Purchased True-Up-2020 ($/kWh)</t>
  </si>
  <si>
    <t>Power Purchased True-Up-2021 ($/kWh)</t>
  </si>
  <si>
    <t>Power Purchased True-Up-2022 ($/kWh)</t>
  </si>
  <si>
    <t>Power Purchased True-Up-2023 ($/kWh)</t>
  </si>
  <si>
    <t>Forecast Power Purchased True-Up Balance and Rate Calculations</t>
  </si>
  <si>
    <t>Power Purchased True-Up Balance</t>
  </si>
  <si>
    <t>Power Purchased True-Up ($/kWh)</t>
  </si>
  <si>
    <t>(= Power Purchased True-Up Balance / customer volumes)</t>
  </si>
  <si>
    <t xml:space="preserve">1508 Power Purchased True-Up Tracking Account </t>
  </si>
  <si>
    <t>Power Purchased True-Up Calculation</t>
  </si>
  <si>
    <t>Total Customer kWh Volumes (metered)</t>
  </si>
  <si>
    <t>Power Purchased True-Up Rate</t>
  </si>
  <si>
    <t>Q1 2024</t>
  </si>
  <si>
    <t>Adjustment for earlier variances (2-year lag)</t>
  </si>
  <si>
    <t>Variance to be disposed in 2021</t>
  </si>
  <si>
    <t>Interest on variance to be disposed in 2021</t>
  </si>
  <si>
    <t>Monthly interest on variances in lag year</t>
  </si>
  <si>
    <t>Audited Variance from 2025</t>
  </si>
  <si>
    <t>Interest on variance from 2025</t>
  </si>
  <si>
    <t>Variance from 2021</t>
  </si>
  <si>
    <t>Int. on 2021 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</si>
</sst>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00_);_(* \(#,##0.0000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_(&quot;$&quot;* #,##0.0000_);_(&quot;$&quot;* \(#,##0.0000\);_(&quot;$&quot;* &quot;-&quot;??_);_(@_)"/>
    <numFmt numFmtId="170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6">
    <xf numFmtId="0" fontId="0" fillId="0" borderId="0" xfId="0"/>
    <xf numFmtId="164" fontId="0" fillId="0" borderId="0" xfId="0" applyNumberFormat="1"/>
    <xf numFmtId="0" fontId="2" fillId="0" borderId="0" xfId="0" applyFont="1"/>
    <xf numFmtId="167" fontId="0" fillId="0" borderId="0" xfId="1" applyNumberFormat="1" applyFont="1" applyFill="1"/>
    <xf numFmtId="168" fontId="0" fillId="0" borderId="0" xfId="2" applyNumberFormat="1" applyFont="1" applyFill="1" applyBorder="1"/>
    <xf numFmtId="168" fontId="0" fillId="0" borderId="6" xfId="2" applyNumberFormat="1" applyFont="1" applyFill="1" applyBorder="1"/>
    <xf numFmtId="168" fontId="0" fillId="0" borderId="9" xfId="2" applyNumberFormat="1" applyFont="1" applyFill="1" applyBorder="1"/>
    <xf numFmtId="168" fontId="0" fillId="0" borderId="0" xfId="2" applyNumberFormat="1" applyFont="1" applyFill="1"/>
    <xf numFmtId="167" fontId="0" fillId="0" borderId="12" xfId="0" applyNumberFormat="1" applyBorder="1"/>
    <xf numFmtId="168" fontId="0" fillId="0" borderId="14" xfId="2" applyNumberFormat="1" applyFont="1" applyFill="1" applyBorder="1"/>
    <xf numFmtId="167" fontId="2" fillId="0" borderId="0" xfId="0" applyNumberFormat="1" applyFont="1"/>
    <xf numFmtId="168" fontId="0" fillId="0" borderId="0" xfId="0" applyNumberFormat="1"/>
    <xf numFmtId="168" fontId="2" fillId="0" borderId="0" xfId="0" applyNumberFormat="1" applyFont="1"/>
    <xf numFmtId="169" fontId="0" fillId="0" borderId="0" xfId="2" applyNumberFormat="1" applyFont="1" applyFill="1"/>
    <xf numFmtId="0" fontId="0" fillId="0" borderId="0" xfId="0" applyAlignment="1">
      <alignment wrapText="1"/>
    </xf>
    <xf numFmtId="167" fontId="0" fillId="0" borderId="0" xfId="1" applyNumberFormat="1" applyFont="1" applyFill="1" applyAlignment="1">
      <alignment wrapText="1"/>
    </xf>
    <xf numFmtId="0" fontId="0" fillId="0" borderId="0" xfId="0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0" fontId="0" fillId="0" borderId="21" xfId="0" applyBorder="1"/>
    <xf numFmtId="169" fontId="2" fillId="0" borderId="0" xfId="2" applyNumberFormat="1" applyFont="1" applyFill="1" applyBorder="1"/>
    <xf numFmtId="168" fontId="2" fillId="0" borderId="0" xfId="2" applyNumberFormat="1" applyFont="1" applyFill="1" applyBorder="1"/>
    <xf numFmtId="167" fontId="0" fillId="0" borderId="0" xfId="1" applyNumberFormat="1" applyFont="1"/>
    <xf numFmtId="0" fontId="2" fillId="0" borderId="18" xfId="0" applyFont="1" applyBorder="1"/>
    <xf numFmtId="0" fontId="2" fillId="0" borderId="20" xfId="0" applyFont="1" applyBorder="1"/>
    <xf numFmtId="167" fontId="2" fillId="0" borderId="11" xfId="1" applyNumberFormat="1" applyFont="1" applyFill="1" applyBorder="1"/>
    <xf numFmtId="167" fontId="2" fillId="0" borderId="21" xfId="1" applyNumberFormat="1" applyFont="1" applyFill="1" applyBorder="1"/>
    <xf numFmtId="0" fontId="2" fillId="0" borderId="18" xfId="0" applyFont="1" applyBorder="1" applyAlignment="1">
      <alignment wrapText="1"/>
    </xf>
    <xf numFmtId="0" fontId="0" fillId="0" borderId="19" xfId="0" applyBorder="1" applyAlignment="1">
      <alignment horizontal="center" wrapText="1"/>
    </xf>
    <xf numFmtId="167" fontId="0" fillId="0" borderId="19" xfId="0" applyNumberFormat="1" applyBorder="1"/>
    <xf numFmtId="0" fontId="0" fillId="0" borderId="18" xfId="1" applyNumberFormat="1" applyFont="1" applyFill="1" applyBorder="1"/>
    <xf numFmtId="0" fontId="0" fillId="0" borderId="20" xfId="1" applyNumberFormat="1" applyFont="1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8" fontId="0" fillId="0" borderId="11" xfId="0" applyNumberFormat="1" applyBorder="1"/>
    <xf numFmtId="168" fontId="0" fillId="0" borderId="0" xfId="2" applyNumberFormat="1" applyFont="1" applyBorder="1"/>
    <xf numFmtId="167" fontId="0" fillId="0" borderId="0" xfId="1" applyNumberFormat="1" applyFont="1" applyBorder="1"/>
    <xf numFmtId="168" fontId="0" fillId="0" borderId="19" xfId="2" applyNumberFormat="1" applyFont="1" applyBorder="1"/>
    <xf numFmtId="168" fontId="0" fillId="0" borderId="19" xfId="0" applyNumberFormat="1" applyBorder="1"/>
    <xf numFmtId="168" fontId="0" fillId="0" borderId="18" xfId="2" applyNumberFormat="1" applyFont="1" applyBorder="1"/>
    <xf numFmtId="167" fontId="0" fillId="0" borderId="18" xfId="1" applyNumberFormat="1" applyFont="1" applyBorder="1"/>
    <xf numFmtId="168" fontId="2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2" fillId="0" borderId="23" xfId="0" applyFont="1" applyBorder="1"/>
    <xf numFmtId="0" fontId="0" fillId="0" borderId="24" xfId="0" applyBorder="1"/>
    <xf numFmtId="0" fontId="2" fillId="0" borderId="24" xfId="0" applyFont="1" applyBorder="1"/>
    <xf numFmtId="168" fontId="2" fillId="0" borderId="11" xfId="0" applyNumberFormat="1" applyFont="1" applyBorder="1"/>
    <xf numFmtId="168" fontId="2" fillId="0" borderId="21" xfId="0" applyNumberFormat="1" applyFont="1" applyBorder="1"/>
    <xf numFmtId="168" fontId="0" fillId="0" borderId="15" xfId="2" applyNumberFormat="1" applyFont="1" applyBorder="1"/>
    <xf numFmtId="168" fontId="0" fillId="0" borderId="16" xfId="2" applyNumberFormat="1" applyFont="1" applyBorder="1"/>
    <xf numFmtId="169" fontId="0" fillId="0" borderId="0" xfId="2" applyNumberFormat="1" applyFont="1" applyBorder="1"/>
    <xf numFmtId="169" fontId="2" fillId="0" borderId="20" xfId="2" applyNumberFormat="1" applyFont="1" applyBorder="1"/>
    <xf numFmtId="169" fontId="2" fillId="0" borderId="11" xfId="2" applyNumberFormat="1" applyFont="1" applyBorder="1"/>
    <xf numFmtId="167" fontId="0" fillId="0" borderId="18" xfId="1" applyNumberFormat="1" applyFont="1" applyFill="1" applyBorder="1" applyAlignment="1">
      <alignment horizontal="center" wrapText="1"/>
    </xf>
    <xf numFmtId="167" fontId="0" fillId="0" borderId="0" xfId="1" applyNumberFormat="1" applyFont="1" applyFill="1" applyBorder="1" applyAlignment="1">
      <alignment horizontal="center" wrapText="1"/>
    </xf>
    <xf numFmtId="167" fontId="0" fillId="0" borderId="18" xfId="1" applyNumberFormat="1" applyFont="1" applyFill="1" applyBorder="1"/>
    <xf numFmtId="168" fontId="0" fillId="0" borderId="19" xfId="2" applyNumberFormat="1" applyFont="1" applyFill="1" applyBorder="1"/>
    <xf numFmtId="0" fontId="0" fillId="0" borderId="18" xfId="0" applyBorder="1" applyAlignment="1">
      <alignment horizontal="center" wrapText="1"/>
    </xf>
    <xf numFmtId="168" fontId="0" fillId="0" borderId="18" xfId="0" applyNumberFormat="1" applyBorder="1"/>
    <xf numFmtId="10" fontId="1" fillId="0" borderId="0" xfId="3" applyNumberFormat="1" applyFont="1" applyFill="1" applyBorder="1"/>
    <xf numFmtId="0" fontId="2" fillId="0" borderId="5" xfId="0" applyFont="1" applyBorder="1"/>
    <xf numFmtId="167" fontId="0" fillId="0" borderId="6" xfId="1" applyNumberFormat="1" applyFont="1" applyFill="1" applyBorder="1" applyAlignment="1">
      <alignment horizontal="center" wrapText="1"/>
    </xf>
    <xf numFmtId="168" fontId="0" fillId="0" borderId="6" xfId="0" applyNumberFormat="1" applyBorder="1"/>
    <xf numFmtId="0" fontId="2" fillId="0" borderId="7" xfId="0" applyFont="1" applyBorder="1"/>
    <xf numFmtId="168" fontId="2" fillId="0" borderId="9" xfId="0" applyNumberFormat="1" applyFont="1" applyBorder="1"/>
    <xf numFmtId="168" fontId="0" fillId="0" borderId="21" xfId="0" applyNumberFormat="1" applyBorder="1"/>
    <xf numFmtId="167" fontId="0" fillId="0" borderId="20" xfId="1" applyNumberFormat="1" applyFont="1" applyFill="1" applyBorder="1" applyAlignment="1">
      <alignment horizontal="center" wrapText="1"/>
    </xf>
    <xf numFmtId="167" fontId="0" fillId="0" borderId="11" xfId="1" applyNumberFormat="1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7" fontId="0" fillId="0" borderId="29" xfId="1" applyNumberFormat="1" applyFont="1" applyFill="1" applyBorder="1" applyAlignment="1">
      <alignment horizontal="center" wrapText="1"/>
    </xf>
    <xf numFmtId="167" fontId="2" fillId="0" borderId="18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2" fillId="0" borderId="6" xfId="1" applyNumberFormat="1" applyFont="1" applyFill="1" applyBorder="1" applyAlignment="1">
      <alignment horizontal="center" vertical="center" wrapText="1"/>
    </xf>
    <xf numFmtId="168" fontId="2" fillId="0" borderId="19" xfId="0" applyNumberFormat="1" applyFont="1" applyBorder="1"/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169" fontId="0" fillId="0" borderId="18" xfId="2" applyNumberFormat="1" applyFont="1" applyBorder="1"/>
    <xf numFmtId="0" fontId="0" fillId="3" borderId="25" xfId="0" applyFill="1" applyBorder="1"/>
    <xf numFmtId="0" fontId="0" fillId="3" borderId="33" xfId="0" applyFill="1" applyBorder="1"/>
    <xf numFmtId="0" fontId="4" fillId="3" borderId="3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26" xfId="0" applyBorder="1"/>
    <xf numFmtId="169" fontId="0" fillId="0" borderId="6" xfId="2" applyNumberFormat="1" applyFont="1" applyBorder="1"/>
    <xf numFmtId="167" fontId="0" fillId="0" borderId="6" xfId="1" applyNumberFormat="1" applyFont="1" applyBorder="1"/>
    <xf numFmtId="0" fontId="0" fillId="0" borderId="6" xfId="0" applyBorder="1"/>
    <xf numFmtId="168" fontId="0" fillId="0" borderId="6" xfId="2" applyNumberFormat="1" applyFont="1" applyBorder="1"/>
    <xf numFmtId="168" fontId="2" fillId="0" borderId="6" xfId="0" applyNumberFormat="1" applyFont="1" applyBorder="1"/>
    <xf numFmtId="169" fontId="2" fillId="0" borderId="29" xfId="2" applyNumberFormat="1" applyFont="1" applyBorder="1"/>
    <xf numFmtId="168" fontId="0" fillId="0" borderId="26" xfId="2" applyNumberFormat="1" applyFont="1" applyBorder="1"/>
    <xf numFmtId="0" fontId="0" fillId="0" borderId="29" xfId="0" applyBorder="1"/>
    <xf numFmtId="0" fontId="2" fillId="0" borderId="39" xfId="0" applyFont="1" applyBorder="1"/>
    <xf numFmtId="168" fontId="2" fillId="0" borderId="27" xfId="0" applyNumberFormat="1" applyFont="1" applyBorder="1"/>
    <xf numFmtId="168" fontId="2" fillId="0" borderId="8" xfId="0" applyNumberFormat="1" applyFont="1" applyBorder="1"/>
    <xf numFmtId="0" fontId="2" fillId="0" borderId="11" xfId="0" applyFont="1" applyBorder="1" applyAlignment="1">
      <alignment horizontal="left"/>
    </xf>
    <xf numFmtId="0" fontId="0" fillId="0" borderId="5" xfId="0" applyBorder="1"/>
    <xf numFmtId="0" fontId="0" fillId="0" borderId="25" xfId="0" applyBorder="1"/>
    <xf numFmtId="168" fontId="0" fillId="0" borderId="10" xfId="0" applyNumberFormat="1" applyBorder="1"/>
    <xf numFmtId="168" fontId="0" fillId="0" borderId="43" xfId="0" applyNumberFormat="1" applyBorder="1"/>
    <xf numFmtId="168" fontId="1" fillId="0" borderId="10" xfId="2" applyNumberFormat="1" applyFont="1" applyFill="1" applyBorder="1"/>
    <xf numFmtId="168" fontId="1" fillId="0" borderId="0" xfId="2" applyNumberFormat="1" applyFont="1" applyFill="1" applyBorder="1"/>
    <xf numFmtId="167" fontId="0" fillId="0" borderId="27" xfId="1" applyNumberFormat="1" applyFont="1" applyFill="1" applyBorder="1" applyAlignment="1">
      <alignment horizontal="center" wrapText="1"/>
    </xf>
    <xf numFmtId="167" fontId="0" fillId="0" borderId="8" xfId="1" applyNumberFormat="1" applyFont="1" applyFill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7" fontId="0" fillId="0" borderId="9" xfId="1" applyNumberFormat="1" applyFont="1" applyFill="1" applyBorder="1" applyAlignment="1">
      <alignment horizontal="center" wrapText="1"/>
    </xf>
    <xf numFmtId="168" fontId="0" fillId="4" borderId="18" xfId="0" applyNumberFormat="1" applyFill="1" applyBorder="1"/>
    <xf numFmtId="167" fontId="0" fillId="4" borderId="18" xfId="1" applyNumberFormat="1" applyFont="1" applyFill="1" applyBorder="1"/>
    <xf numFmtId="10" fontId="1" fillId="4" borderId="0" xfId="3" applyNumberFormat="1" applyFont="1" applyFill="1" applyBorder="1"/>
    <xf numFmtId="10" fontId="3" fillId="4" borderId="0" xfId="3" applyNumberFormat="1" applyFont="1" applyFill="1" applyBorder="1"/>
    <xf numFmtId="169" fontId="0" fillId="4" borderId="0" xfId="2" applyNumberFormat="1" applyFont="1" applyFill="1" applyBorder="1"/>
    <xf numFmtId="167" fontId="0" fillId="4" borderId="0" xfId="1" applyNumberFormat="1" applyFont="1" applyFill="1" applyBorder="1"/>
    <xf numFmtId="0" fontId="2" fillId="0" borderId="44" xfId="0" applyFont="1" applyBorder="1"/>
    <xf numFmtId="167" fontId="2" fillId="0" borderId="45" xfId="1" applyNumberFormat="1" applyFont="1" applyFill="1" applyBorder="1"/>
    <xf numFmtId="0" fontId="2" fillId="0" borderId="46" xfId="0" applyFont="1" applyBorder="1"/>
    <xf numFmtId="168" fontId="2" fillId="0" borderId="47" xfId="2" applyNumberFormat="1" applyFont="1" applyFill="1" applyBorder="1"/>
    <xf numFmtId="168" fontId="2" fillId="0" borderId="45" xfId="2" applyNumberFormat="1" applyFont="1" applyFill="1" applyBorder="1"/>
    <xf numFmtId="168" fontId="2" fillId="0" borderId="46" xfId="2" applyNumberFormat="1" applyFont="1" applyFill="1" applyBorder="1"/>
    <xf numFmtId="167" fontId="2" fillId="0" borderId="46" xfId="0" applyNumberFormat="1" applyFont="1" applyBorder="1"/>
    <xf numFmtId="168" fontId="2" fillId="0" borderId="48" xfId="0" applyNumberFormat="1" applyFont="1" applyBorder="1"/>
    <xf numFmtId="168" fontId="1" fillId="0" borderId="6" xfId="2" applyNumberFormat="1" applyFont="1" applyBorder="1"/>
    <xf numFmtId="0" fontId="2" fillId="0" borderId="19" xfId="0" applyFont="1" applyBorder="1" applyAlignment="1">
      <alignment horizontal="center"/>
    </xf>
    <xf numFmtId="0" fontId="2" fillId="3" borderId="49" xfId="0" applyFont="1" applyFill="1" applyBorder="1" applyAlignment="1">
      <alignment horizontal="center" wrapText="1"/>
    </xf>
    <xf numFmtId="0" fontId="2" fillId="3" borderId="50" xfId="0" applyFont="1" applyFill="1" applyBorder="1" applyAlignment="1">
      <alignment horizontal="center" wrapText="1"/>
    </xf>
    <xf numFmtId="0" fontId="2" fillId="3" borderId="51" xfId="0" applyFont="1" applyFill="1" applyBorder="1" applyAlignment="1">
      <alignment horizontal="center" wrapText="1"/>
    </xf>
    <xf numFmtId="0" fontId="2" fillId="0" borderId="40" xfId="0" applyFont="1" applyBorder="1"/>
    <xf numFmtId="0" fontId="2" fillId="0" borderId="41" xfId="0" applyFont="1" applyBorder="1"/>
    <xf numFmtId="0" fontId="2" fillId="0" borderId="3" xfId="0" applyFont="1" applyBorder="1"/>
    <xf numFmtId="169" fontId="0" fillId="0" borderId="13" xfId="2" applyNumberFormat="1" applyFont="1" applyFill="1" applyBorder="1"/>
    <xf numFmtId="167" fontId="1" fillId="0" borderId="8" xfId="1" applyNumberFormat="1" applyFont="1" applyFill="1" applyBorder="1" applyAlignment="1">
      <alignment horizontal="center" wrapText="1"/>
    </xf>
    <xf numFmtId="0" fontId="0" fillId="0" borderId="10" xfId="0" applyBorder="1"/>
    <xf numFmtId="0" fontId="0" fillId="0" borderId="7" xfId="0" applyBorder="1"/>
    <xf numFmtId="0" fontId="0" fillId="0" borderId="8" xfId="0" applyBorder="1"/>
    <xf numFmtId="0" fontId="0" fillId="0" borderId="15" xfId="0" applyBorder="1" applyAlignment="1">
      <alignment vertical="center"/>
    </xf>
    <xf numFmtId="167" fontId="1" fillId="0" borderId="0" xfId="1" applyNumberFormat="1" applyFont="1" applyFill="1" applyBorder="1" applyAlignment="1">
      <alignment horizontal="center" wrapText="1"/>
    </xf>
    <xf numFmtId="0" fontId="0" fillId="4" borderId="0" xfId="0" applyFill="1"/>
    <xf numFmtId="0" fontId="2" fillId="0" borderId="0" xfId="1" applyNumberFormat="1" applyFont="1" applyAlignment="1">
      <alignment horizontal="center"/>
    </xf>
    <xf numFmtId="168" fontId="0" fillId="4" borderId="34" xfId="0" applyNumberFormat="1" applyFill="1" applyBorder="1"/>
    <xf numFmtId="10" fontId="3" fillId="4" borderId="10" xfId="3" applyNumberFormat="1" applyFont="1" applyFill="1" applyBorder="1"/>
    <xf numFmtId="0" fontId="0" fillId="2" borderId="18" xfId="0" applyFill="1" applyBorder="1"/>
    <xf numFmtId="0" fontId="2" fillId="0" borderId="52" xfId="0" applyFont="1" applyBorder="1"/>
    <xf numFmtId="168" fontId="1" fillId="0" borderId="6" xfId="2" applyNumberFormat="1" applyFont="1" applyFill="1" applyBorder="1"/>
    <xf numFmtId="167" fontId="0" fillId="4" borderId="5" xfId="1" applyNumberFormat="1" applyFont="1" applyFill="1" applyBorder="1"/>
    <xf numFmtId="166" fontId="0" fillId="4" borderId="0" xfId="1" applyNumberFormat="1" applyFont="1" applyFill="1" applyBorder="1"/>
    <xf numFmtId="167" fontId="0" fillId="4" borderId="7" xfId="1" applyNumberFormat="1" applyFont="1" applyFill="1" applyBorder="1"/>
    <xf numFmtId="166" fontId="0" fillId="4" borderId="8" xfId="1" applyNumberFormat="1" applyFont="1" applyFill="1" applyBorder="1"/>
    <xf numFmtId="167" fontId="0" fillId="4" borderId="19" xfId="1" applyNumberFormat="1" applyFont="1" applyFill="1" applyBorder="1"/>
    <xf numFmtId="0" fontId="0" fillId="0" borderId="0" xfId="0" applyAlignment="1">
      <alignment horizontal="center" wrapText="1"/>
    </xf>
    <xf numFmtId="167" fontId="0" fillId="4" borderId="0" xfId="0" applyNumberFormat="1" applyFill="1"/>
    <xf numFmtId="167" fontId="0" fillId="0" borderId="0" xfId="0" applyNumberFormat="1"/>
    <xf numFmtId="0" fontId="2" fillId="0" borderId="0" xfId="0" applyFont="1" applyAlignment="1">
      <alignment horizontal="center"/>
    </xf>
    <xf numFmtId="167" fontId="2" fillId="0" borderId="11" xfId="1" applyNumberFormat="1" applyFont="1" applyBorder="1"/>
    <xf numFmtId="0" fontId="2" fillId="3" borderId="53" xfId="0" applyFont="1" applyFill="1" applyBorder="1" applyAlignment="1">
      <alignment horizontal="center"/>
    </xf>
    <xf numFmtId="167" fontId="0" fillId="0" borderId="18" xfId="0" applyNumberFormat="1" applyBorder="1"/>
    <xf numFmtId="167" fontId="2" fillId="0" borderId="20" xfId="1" applyNumberFormat="1" applyFont="1" applyFill="1" applyBorder="1"/>
    <xf numFmtId="167" fontId="3" fillId="0" borderId="0" xfId="1" applyNumberFormat="1" applyFont="1" applyBorder="1"/>
    <xf numFmtId="170" fontId="0" fillId="0" borderId="0" xfId="0" applyNumberFormat="1"/>
    <xf numFmtId="166" fontId="0" fillId="0" borderId="0" xfId="0" applyNumberFormat="1"/>
    <xf numFmtId="167" fontId="1" fillId="4" borderId="5" xfId="1" applyNumberFormat="1" applyFont="1" applyFill="1" applyBorder="1"/>
    <xf numFmtId="0" fontId="0" fillId="4" borderId="11" xfId="0" applyFill="1" applyBorder="1"/>
    <xf numFmtId="2" fontId="0" fillId="4" borderId="19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0" fontId="3" fillId="0" borderId="0" xfId="0" applyFont="1"/>
    <xf numFmtId="0" fontId="3" fillId="0" borderId="10" xfId="0" applyFont="1" applyBorder="1"/>
    <xf numFmtId="0" fontId="3" fillId="0" borderId="8" xfId="0" applyFont="1" applyBorder="1"/>
    <xf numFmtId="169" fontId="6" fillId="0" borderId="0" xfId="2" applyNumberFormat="1" applyFont="1" applyFill="1" applyBorder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9" fontId="6" fillId="0" borderId="0" xfId="2" applyNumberFormat="1" applyFont="1" applyFill="1" applyBorder="1" applyAlignment="1">
      <alignment horizontal="center"/>
    </xf>
    <xf numFmtId="168" fontId="2" fillId="0" borderId="48" xfId="2" applyNumberFormat="1" applyFont="1" applyFill="1" applyBorder="1"/>
    <xf numFmtId="0" fontId="0" fillId="0" borderId="0" xfId="0" applyAlignment="1">
      <alignment horizontal="left"/>
    </xf>
    <xf numFmtId="0" fontId="6" fillId="0" borderId="12" xfId="0" applyFont="1" applyBorder="1" applyAlignment="1">
      <alignment horizontal="center" vertical="center"/>
    </xf>
    <xf numFmtId="167" fontId="0" fillId="0" borderId="11" xfId="1" applyNumberFormat="1" applyFont="1" applyFill="1" applyBorder="1"/>
    <xf numFmtId="3" fontId="0" fillId="0" borderId="11" xfId="0" applyNumberFormat="1" applyBorder="1"/>
    <xf numFmtId="169" fontId="2" fillId="5" borderId="0" xfId="2" applyNumberFormat="1" applyFont="1" applyFill="1" applyBorder="1"/>
    <xf numFmtId="10" fontId="1" fillId="4" borderId="10" xfId="3" applyNumberFormat="1" applyFont="1" applyFill="1" applyBorder="1"/>
    <xf numFmtId="0" fontId="2" fillId="3" borderId="5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5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5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3" borderId="25" xfId="1" applyNumberFormat="1" applyFont="1" applyFill="1" applyBorder="1" applyAlignment="1">
      <alignment horizontal="center"/>
    </xf>
    <xf numFmtId="0" fontId="4" fillId="3" borderId="10" xfId="1" applyNumberFormat="1" applyFont="1" applyFill="1" applyBorder="1" applyAlignment="1">
      <alignment horizontal="center"/>
    </xf>
    <xf numFmtId="0" fontId="4" fillId="3" borderId="4" xfId="1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3" borderId="30" xfId="1" applyNumberFormat="1" applyFont="1" applyFill="1" applyBorder="1" applyAlignment="1">
      <alignment horizontal="center"/>
    </xf>
    <xf numFmtId="0" fontId="4" fillId="3" borderId="31" xfId="1" applyNumberFormat="1" applyFont="1" applyFill="1" applyBorder="1" applyAlignment="1">
      <alignment horizontal="center"/>
    </xf>
    <xf numFmtId="0" fontId="4" fillId="3" borderId="32" xfId="1" applyNumberFormat="1" applyFont="1" applyFill="1" applyBorder="1" applyAlignment="1">
      <alignment horizontal="center"/>
    </xf>
    <xf numFmtId="167" fontId="1" fillId="2" borderId="0" xfId="1" applyNumberFormat="1" applyFont="1" applyFill="1" applyBorder="1" applyAlignment="1">
      <alignment horizontal="center" vertical="center" wrapText="1"/>
    </xf>
    <xf numFmtId="0" fontId="4" fillId="3" borderId="12" xfId="1" applyNumberFormat="1" applyFont="1" applyFill="1" applyBorder="1" applyAlignment="1">
      <alignment horizontal="center" vertical="center"/>
    </xf>
    <xf numFmtId="0" fontId="4" fillId="3" borderId="13" xfId="1" applyNumberFormat="1" applyFont="1" applyFill="1" applyBorder="1" applyAlignment="1">
      <alignment horizontal="center" vertical="center"/>
    </xf>
    <xf numFmtId="0" fontId="4" fillId="3" borderId="14" xfId="1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69" fontId="3" fillId="0" borderId="0" xfId="0" applyNumberFormat="1" applyFont="1" applyBorder="1"/>
    <xf numFmtId="168" fontId="0" fillId="0" borderId="0" xfId="0" applyNumberFormat="1" applyBorder="1"/>
    <xf numFmtId="169" fontId="0" fillId="0" borderId="0" xfId="0" applyNumberFormat="1" applyBorder="1"/>
    <xf numFmtId="167" fontId="1" fillId="0" borderId="9" xfId="1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3026-239F-4D0E-BF2E-CA93AF3969A5}">
  <sheetPr>
    <tabColor theme="9" tint="0.59999389629810485"/>
  </sheetPr>
  <dimension ref="B2:W108"/>
  <sheetViews>
    <sheetView tabSelected="1" zoomScale="80" zoomScaleNormal="80" workbookViewId="0">
      <selection activeCell="C91" sqref="C91"/>
    </sheetView>
  </sheetViews>
  <sheetFormatPr defaultRowHeight="14.5" x14ac:dyDescent="0.35"/>
  <cols>
    <col min="1" max="1" width="3.26953125" customWidth="1"/>
    <col min="2" max="2" width="12.54296875" customWidth="1"/>
    <col min="3" max="3" width="15.26953125" bestFit="1" customWidth="1"/>
    <col min="4" max="4" width="17.81640625" customWidth="1"/>
    <col min="5" max="5" width="14.26953125" bestFit="1" customWidth="1"/>
    <col min="6" max="6" width="14.26953125" customWidth="1"/>
    <col min="7" max="7" width="13.453125" bestFit="1" customWidth="1"/>
    <col min="8" max="8" width="13.81640625" bestFit="1" customWidth="1"/>
    <col min="9" max="9" width="12.26953125" bestFit="1" customWidth="1"/>
    <col min="10" max="10" width="12.453125" bestFit="1" customWidth="1"/>
    <col min="11" max="11" width="13.54296875" bestFit="1" customWidth="1"/>
    <col min="12" max="12" width="12.7265625" bestFit="1" customWidth="1"/>
    <col min="13" max="13" width="12.453125" bestFit="1" customWidth="1"/>
    <col min="14" max="14" width="14.54296875" customWidth="1"/>
    <col min="15" max="15" width="12.26953125" bestFit="1" customWidth="1"/>
    <col min="16" max="16" width="10.26953125" customWidth="1"/>
    <col min="17" max="17" width="12.1796875" bestFit="1" customWidth="1"/>
    <col min="18" max="18" width="12.26953125" bestFit="1" customWidth="1"/>
    <col min="19" max="19" width="9.453125" bestFit="1" customWidth="1"/>
    <col min="20" max="20" width="12.1796875" bestFit="1" customWidth="1"/>
    <col min="21" max="21" width="12.26953125" bestFit="1" customWidth="1"/>
    <col min="22" max="22" width="9.453125" customWidth="1"/>
    <col min="23" max="23" width="12.1796875" bestFit="1" customWidth="1"/>
  </cols>
  <sheetData>
    <row r="2" spans="2:23" ht="19" thickBot="1" x14ac:dyDescent="0.5">
      <c r="C2" s="200" t="s">
        <v>137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</row>
    <row r="3" spans="2:23" ht="15" thickBot="1" x14ac:dyDescent="0.4">
      <c r="B3" s="1"/>
      <c r="C3" s="206">
        <v>2017</v>
      </c>
      <c r="D3" s="204"/>
      <c r="E3" s="204"/>
      <c r="F3" s="201">
        <f>C3+1</f>
        <v>2018</v>
      </c>
      <c r="G3" s="202"/>
      <c r="H3" s="203"/>
      <c r="I3" s="204">
        <f>F3+1</f>
        <v>2019</v>
      </c>
      <c r="J3" s="204"/>
      <c r="K3" s="204"/>
      <c r="L3" s="201">
        <f>I3+1</f>
        <v>2020</v>
      </c>
      <c r="M3" s="202"/>
      <c r="N3" s="203"/>
      <c r="O3" s="204">
        <f>L3+1</f>
        <v>2021</v>
      </c>
      <c r="P3" s="204"/>
      <c r="Q3" s="204"/>
      <c r="R3" s="201">
        <f>O3+1</f>
        <v>2022</v>
      </c>
      <c r="S3" s="202"/>
      <c r="T3" s="203"/>
      <c r="U3" s="204">
        <f>R3+1</f>
        <v>2023</v>
      </c>
      <c r="V3" s="204"/>
      <c r="W3" s="205"/>
    </row>
    <row r="4" spans="2:23" ht="29.5" thickBot="1" x14ac:dyDescent="0.4">
      <c r="B4" s="1"/>
      <c r="C4" s="135" t="s">
        <v>13</v>
      </c>
      <c r="D4" s="136" t="s">
        <v>12</v>
      </c>
      <c r="E4" s="137" t="s">
        <v>101</v>
      </c>
      <c r="F4" s="135" t="s">
        <v>13</v>
      </c>
      <c r="G4" s="136" t="s">
        <v>12</v>
      </c>
      <c r="H4" s="137" t="s">
        <v>101</v>
      </c>
      <c r="I4" s="135" t="s">
        <v>13</v>
      </c>
      <c r="J4" s="136" t="s">
        <v>12</v>
      </c>
      <c r="K4" s="137" t="s">
        <v>101</v>
      </c>
      <c r="L4" s="135" t="s">
        <v>13</v>
      </c>
      <c r="M4" s="136" t="s">
        <v>12</v>
      </c>
      <c r="N4" s="137" t="s">
        <v>101</v>
      </c>
      <c r="O4" s="135" t="s">
        <v>13</v>
      </c>
      <c r="P4" s="136" t="s">
        <v>12</v>
      </c>
      <c r="Q4" s="137" t="s">
        <v>101</v>
      </c>
      <c r="R4" s="135" t="s">
        <v>13</v>
      </c>
      <c r="S4" s="136" t="s">
        <v>12</v>
      </c>
      <c r="T4" s="137" t="s">
        <v>101</v>
      </c>
      <c r="U4" s="135" t="s">
        <v>13</v>
      </c>
      <c r="V4" s="136" t="s">
        <v>12</v>
      </c>
      <c r="W4" s="137" t="s">
        <v>101</v>
      </c>
    </row>
    <row r="5" spans="2:23" x14ac:dyDescent="0.35">
      <c r="B5" s="138" t="s">
        <v>0</v>
      </c>
      <c r="C5" s="155">
        <v>2134510</v>
      </c>
      <c r="D5" s="156">
        <v>8.2269999999999996E-2</v>
      </c>
      <c r="E5" s="5">
        <v>175606.1399999999</v>
      </c>
      <c r="F5" s="155">
        <v>2813138</v>
      </c>
      <c r="G5" s="156">
        <v>6.7360000000000003E-2</v>
      </c>
      <c r="H5" s="5">
        <v>189492.96999999997</v>
      </c>
      <c r="I5" s="155">
        <v>2196000</v>
      </c>
      <c r="J5" s="156">
        <v>8.0920000000000006E-2</v>
      </c>
      <c r="K5" s="5">
        <v>177700.31999999983</v>
      </c>
      <c r="L5" s="155">
        <v>2089120</v>
      </c>
      <c r="M5" s="156">
        <v>0.10231999999999999</v>
      </c>
      <c r="N5" s="5">
        <v>213758.76</v>
      </c>
      <c r="O5" s="155">
        <v>1805830</v>
      </c>
      <c r="P5" s="156">
        <v>8.2970000000000002E-2</v>
      </c>
      <c r="Q5" s="5">
        <v>149829.71999999997</v>
      </c>
      <c r="R5" s="155">
        <v>857320</v>
      </c>
      <c r="S5" s="156">
        <v>4.3529999999999999E-2</v>
      </c>
      <c r="T5" s="5">
        <v>37319.140000000014</v>
      </c>
      <c r="U5" s="155">
        <v>2581360</v>
      </c>
      <c r="V5" s="156">
        <v>5.3769999999999998E-2</v>
      </c>
      <c r="W5" s="5">
        <v>138799.72999999998</v>
      </c>
    </row>
    <row r="6" spans="2:23" x14ac:dyDescent="0.35">
      <c r="B6" s="139" t="s">
        <v>1</v>
      </c>
      <c r="C6" s="155">
        <v>2975320</v>
      </c>
      <c r="D6" s="156">
        <v>8.6389999999999995E-2</v>
      </c>
      <c r="E6" s="5">
        <v>257037.8899999999</v>
      </c>
      <c r="F6" s="155">
        <v>3302320</v>
      </c>
      <c r="G6" s="156">
        <v>8.1670000000000006E-2</v>
      </c>
      <c r="H6" s="5">
        <v>269700.47999999998</v>
      </c>
      <c r="I6" s="155">
        <v>2533990</v>
      </c>
      <c r="J6" s="156">
        <v>8.8120000000000004E-2</v>
      </c>
      <c r="K6" s="5">
        <v>223295.19999999995</v>
      </c>
      <c r="L6" s="155">
        <v>1688900</v>
      </c>
      <c r="M6" s="156">
        <v>0.11330999999999999</v>
      </c>
      <c r="N6" s="5">
        <v>191369.26</v>
      </c>
      <c r="O6" s="155">
        <v>1373740</v>
      </c>
      <c r="P6" s="156">
        <v>5.042E-2</v>
      </c>
      <c r="Q6" s="5">
        <v>69263.969999999972</v>
      </c>
      <c r="R6" s="155">
        <v>640680</v>
      </c>
      <c r="S6" s="156">
        <v>5.246E-2</v>
      </c>
      <c r="T6" s="5">
        <v>33610.069999999949</v>
      </c>
      <c r="U6" s="155">
        <v>2016690</v>
      </c>
      <c r="V6" s="156">
        <v>8.2489999999999994E-2</v>
      </c>
      <c r="W6" s="5">
        <v>166356.76</v>
      </c>
    </row>
    <row r="7" spans="2:23" x14ac:dyDescent="0.35">
      <c r="B7" s="139" t="s">
        <v>2</v>
      </c>
      <c r="C7" s="155">
        <v>3883530</v>
      </c>
      <c r="D7" s="156">
        <v>7.1349999999999997E-2</v>
      </c>
      <c r="E7" s="5">
        <v>277089.8600000001</v>
      </c>
      <c r="F7" s="155">
        <v>4336290</v>
      </c>
      <c r="G7" s="156">
        <v>9.4810000000000005E-2</v>
      </c>
      <c r="H7" s="5">
        <v>411123.65999999992</v>
      </c>
      <c r="I7" s="155">
        <v>4480180</v>
      </c>
      <c r="J7" s="156">
        <v>8.0409999999999995E-2</v>
      </c>
      <c r="K7" s="5">
        <v>360251.28</v>
      </c>
      <c r="L7" s="155">
        <v>3223950</v>
      </c>
      <c r="M7" s="156">
        <v>0.11942</v>
      </c>
      <c r="N7" s="5">
        <v>385004.1100000001</v>
      </c>
      <c r="O7" s="155">
        <v>2724430</v>
      </c>
      <c r="P7" s="156">
        <v>9.0800000000000006E-2</v>
      </c>
      <c r="Q7" s="5">
        <v>247378.25</v>
      </c>
      <c r="R7" s="155">
        <v>2937880</v>
      </c>
      <c r="S7" s="156">
        <v>5.9409999999999998E-2</v>
      </c>
      <c r="T7" s="5">
        <v>174539.44999999995</v>
      </c>
      <c r="U7" s="155">
        <v>2816580</v>
      </c>
      <c r="V7" s="156">
        <v>8.0310000000000006E-2</v>
      </c>
      <c r="W7" s="5">
        <v>226199.54000000004</v>
      </c>
    </row>
    <row r="8" spans="2:23" x14ac:dyDescent="0.35">
      <c r="B8" s="139" t="s">
        <v>3</v>
      </c>
      <c r="C8" s="155">
        <v>4799720</v>
      </c>
      <c r="D8" s="156">
        <v>0.10778</v>
      </c>
      <c r="E8" s="5">
        <v>517313.81999999995</v>
      </c>
      <c r="F8" s="155">
        <v>4359310</v>
      </c>
      <c r="G8" s="156">
        <v>9.9589999999999998E-2</v>
      </c>
      <c r="H8" s="5">
        <v>434143.68000000017</v>
      </c>
      <c r="I8" s="155">
        <v>2161930</v>
      </c>
      <c r="J8" s="156">
        <v>0.12333</v>
      </c>
      <c r="K8" s="5">
        <v>266630.83000000007</v>
      </c>
      <c r="L8" s="155">
        <v>3323490</v>
      </c>
      <c r="M8" s="156">
        <v>0.15057000000000001</v>
      </c>
      <c r="N8" s="5">
        <v>500417.89000000013</v>
      </c>
      <c r="O8" s="155">
        <v>4398280</v>
      </c>
      <c r="P8" s="156">
        <v>0.10934000000000001</v>
      </c>
      <c r="Q8" s="5">
        <v>480907.93000000005</v>
      </c>
      <c r="R8" s="155">
        <v>4152090</v>
      </c>
      <c r="S8" s="156">
        <v>8.2930000000000004E-2</v>
      </c>
      <c r="T8" s="5">
        <v>344332.82999999996</v>
      </c>
      <c r="U8" s="155">
        <v>4255470</v>
      </c>
      <c r="V8" s="156">
        <v>9.8530000000000006E-2</v>
      </c>
      <c r="W8" s="5">
        <v>419291.45999999996</v>
      </c>
    </row>
    <row r="9" spans="2:23" x14ac:dyDescent="0.35">
      <c r="B9" s="139" t="s">
        <v>4</v>
      </c>
      <c r="C9" s="155">
        <v>5096570</v>
      </c>
      <c r="D9" s="156">
        <v>0.12307</v>
      </c>
      <c r="E9" s="5">
        <v>627234.87000000011</v>
      </c>
      <c r="F9" s="155">
        <v>5824650</v>
      </c>
      <c r="G9" s="156">
        <v>0.10791000000000001</v>
      </c>
      <c r="H9" s="5">
        <v>628537.98</v>
      </c>
      <c r="I9" s="155">
        <v>573300</v>
      </c>
      <c r="J9" s="156">
        <v>0.12604000000000001</v>
      </c>
      <c r="K9" s="5">
        <v>72258.729999999981</v>
      </c>
      <c r="L9" s="155">
        <v>4369220</v>
      </c>
      <c r="M9" s="156">
        <v>0.14718000000000001</v>
      </c>
      <c r="N9" s="5">
        <v>643061.80000000005</v>
      </c>
      <c r="O9" s="155">
        <v>3333080</v>
      </c>
      <c r="P9" s="156">
        <v>0.10054</v>
      </c>
      <c r="Q9" s="5">
        <v>335107.8600000001</v>
      </c>
      <c r="R9" s="155">
        <v>5665250</v>
      </c>
      <c r="S9" s="156">
        <v>8.4750000000000006E-2</v>
      </c>
      <c r="T9" s="5">
        <v>480129.94000000006</v>
      </c>
      <c r="U9" s="155">
        <v>5063950</v>
      </c>
      <c r="V9" s="156">
        <v>9.962E-2</v>
      </c>
      <c r="W9" s="5">
        <v>504470.69000000006</v>
      </c>
    </row>
    <row r="10" spans="2:23" x14ac:dyDescent="0.35">
      <c r="B10" s="139" t="s">
        <v>5</v>
      </c>
      <c r="C10" s="155">
        <v>5673460</v>
      </c>
      <c r="D10" s="156">
        <v>0.11848</v>
      </c>
      <c r="E10" s="5">
        <v>672191.54</v>
      </c>
      <c r="F10" s="155">
        <v>5836836</v>
      </c>
      <c r="G10" s="156">
        <v>0.11896</v>
      </c>
      <c r="H10" s="5">
        <v>694350.00999999989</v>
      </c>
      <c r="I10" s="155">
        <v>2446170</v>
      </c>
      <c r="J10" s="156">
        <v>0.13728000000000001</v>
      </c>
      <c r="K10" s="5">
        <v>335810.2100000002</v>
      </c>
      <c r="L10" s="155">
        <v>4206240</v>
      </c>
      <c r="M10" s="156">
        <v>0.12839999999999999</v>
      </c>
      <c r="N10" s="5">
        <v>540081.22</v>
      </c>
      <c r="O10" s="155">
        <v>1333260</v>
      </c>
      <c r="P10" s="156">
        <v>8.6319999999999994E-2</v>
      </c>
      <c r="Q10" s="5">
        <v>115087.01000000001</v>
      </c>
      <c r="R10" s="155">
        <v>5632520</v>
      </c>
      <c r="S10" s="156">
        <v>7.868E-2</v>
      </c>
      <c r="T10" s="5">
        <v>443166.67999999993</v>
      </c>
      <c r="U10" s="155">
        <v>2509010</v>
      </c>
      <c r="V10" s="156">
        <v>8.2930000000000004E-2</v>
      </c>
      <c r="W10" s="5">
        <v>208072.19999999995</v>
      </c>
    </row>
    <row r="11" spans="2:23" x14ac:dyDescent="0.35">
      <c r="B11" s="139" t="s">
        <v>6</v>
      </c>
      <c r="C11" s="155">
        <v>5380900</v>
      </c>
      <c r="D11" s="156">
        <v>0.1128</v>
      </c>
      <c r="E11" s="5">
        <v>606965.52</v>
      </c>
      <c r="F11" s="155">
        <v>2286590</v>
      </c>
      <c r="G11" s="156">
        <v>7.7369999999999994E-2</v>
      </c>
      <c r="H11" s="5">
        <v>176913.45999999996</v>
      </c>
      <c r="I11" s="155">
        <v>3676680</v>
      </c>
      <c r="J11" s="156">
        <v>9.6449999999999994E-2</v>
      </c>
      <c r="K11" s="5">
        <v>354615.79000000004</v>
      </c>
      <c r="L11" s="155">
        <v>3494520</v>
      </c>
      <c r="M11" s="156">
        <v>9.9019999999999997E-2</v>
      </c>
      <c r="N11" s="5">
        <v>346027.36999999988</v>
      </c>
      <c r="O11" s="155">
        <v>3685060</v>
      </c>
      <c r="P11" s="156">
        <v>7.3599999999999999E-2</v>
      </c>
      <c r="Q11" s="5">
        <v>271220.41000000003</v>
      </c>
      <c r="R11" s="155">
        <v>4101700</v>
      </c>
      <c r="S11" s="156">
        <v>4.0079999999999998E-2</v>
      </c>
      <c r="T11" s="5">
        <v>164396.14000000001</v>
      </c>
      <c r="U11" s="171">
        <v>5180845.5999999996</v>
      </c>
      <c r="V11" s="156">
        <f>W11/U11</f>
        <v>4.9489998312244633E-2</v>
      </c>
      <c r="W11" s="154">
        <f>128200.02*2</f>
        <v>256400.04</v>
      </c>
    </row>
    <row r="12" spans="2:23" x14ac:dyDescent="0.35">
      <c r="B12" s="139" t="s">
        <v>7</v>
      </c>
      <c r="C12" s="155">
        <v>2756940</v>
      </c>
      <c r="D12" s="156">
        <v>0.10109</v>
      </c>
      <c r="E12" s="5">
        <v>278699.06000000006</v>
      </c>
      <c r="F12" s="155">
        <v>2719400</v>
      </c>
      <c r="G12" s="156">
        <v>7.4899999999999994E-2</v>
      </c>
      <c r="H12" s="5">
        <v>203683.05999999994</v>
      </c>
      <c r="I12" s="155">
        <v>3537380</v>
      </c>
      <c r="J12" s="156">
        <v>0.12606999999999999</v>
      </c>
      <c r="K12" s="5">
        <v>445957.5</v>
      </c>
      <c r="L12" s="155">
        <v>4660990</v>
      </c>
      <c r="M12" s="156">
        <v>0.10348</v>
      </c>
      <c r="N12" s="5">
        <v>482319.24</v>
      </c>
      <c r="O12" s="155">
        <v>4492060</v>
      </c>
      <c r="P12" s="156">
        <v>4.5990000000000003E-2</v>
      </c>
      <c r="Q12" s="5">
        <v>206589.83999999997</v>
      </c>
      <c r="R12" s="155">
        <v>2637510</v>
      </c>
      <c r="S12" s="156">
        <v>4.9899999999999996E-3</v>
      </c>
      <c r="T12" s="5">
        <v>13161.179999999993</v>
      </c>
      <c r="U12" s="155">
        <v>5107690</v>
      </c>
      <c r="V12" s="156">
        <f>W12/U12</f>
        <v>7.6059999725903493E-2</v>
      </c>
      <c r="W12" s="5">
        <f>194245.45*2</f>
        <v>388490.9</v>
      </c>
    </row>
    <row r="13" spans="2:23" x14ac:dyDescent="0.35">
      <c r="B13" s="139" t="s">
        <v>8</v>
      </c>
      <c r="C13" s="155">
        <v>3210200</v>
      </c>
      <c r="D13" s="156">
        <v>8.8639999999999997E-2</v>
      </c>
      <c r="E13" s="5">
        <v>284552.13</v>
      </c>
      <c r="F13" s="155">
        <v>3075670</v>
      </c>
      <c r="G13" s="156">
        <v>8.584E-2</v>
      </c>
      <c r="H13" s="5">
        <v>264015.50999999989</v>
      </c>
      <c r="I13" s="155">
        <v>2684440</v>
      </c>
      <c r="J13" s="156">
        <v>0.12263</v>
      </c>
      <c r="K13" s="5">
        <v>329192.87999999989</v>
      </c>
      <c r="L13" s="155">
        <v>4094420</v>
      </c>
      <c r="M13" s="156">
        <v>0.12175999999999999</v>
      </c>
      <c r="N13" s="5">
        <v>498536.58000000007</v>
      </c>
      <c r="O13" s="155">
        <v>2697760</v>
      </c>
      <c r="P13" s="156">
        <v>7.5649999999999995E-2</v>
      </c>
      <c r="Q13" s="5">
        <v>204085.54999999993</v>
      </c>
      <c r="R13" s="155">
        <v>4344770</v>
      </c>
      <c r="S13" s="156">
        <v>3.2410000000000001E-2</v>
      </c>
      <c r="T13" s="5">
        <v>140814</v>
      </c>
      <c r="U13" s="155">
        <v>3976555.51</v>
      </c>
      <c r="V13" s="156">
        <v>5.0930000000000003E-2</v>
      </c>
      <c r="W13" s="5">
        <v>202525.97</v>
      </c>
    </row>
    <row r="14" spans="2:23" x14ac:dyDescent="0.35">
      <c r="B14" s="139" t="s">
        <v>9</v>
      </c>
      <c r="C14" s="155">
        <v>2748080</v>
      </c>
      <c r="D14" s="156">
        <v>0.12562999999999999</v>
      </c>
      <c r="E14" s="5">
        <v>345241.29000000004</v>
      </c>
      <c r="F14" s="155">
        <v>1716320</v>
      </c>
      <c r="G14" s="156">
        <v>0.12059</v>
      </c>
      <c r="H14" s="5">
        <v>206971.03000000003</v>
      </c>
      <c r="I14" s="155">
        <v>2841830</v>
      </c>
      <c r="J14" s="156">
        <v>0.1368</v>
      </c>
      <c r="K14" s="5">
        <v>388762.34999999986</v>
      </c>
      <c r="L14" s="155">
        <v>3886120</v>
      </c>
      <c r="M14" s="156">
        <v>0.12806000000000001</v>
      </c>
      <c r="N14" s="5">
        <v>497656.53</v>
      </c>
      <c r="O14" s="155">
        <v>5203800</v>
      </c>
      <c r="P14" s="156">
        <v>5.2440000000000001E-2</v>
      </c>
      <c r="Q14" s="5">
        <v>272887.27999999997</v>
      </c>
      <c r="R14" s="155">
        <v>2424300</v>
      </c>
      <c r="S14" s="156">
        <v>5.7709999999999997E-2</v>
      </c>
      <c r="T14" s="5">
        <v>139906.34999999998</v>
      </c>
      <c r="U14" s="155"/>
      <c r="V14" s="156"/>
      <c r="W14" s="5"/>
    </row>
    <row r="15" spans="2:23" x14ac:dyDescent="0.35">
      <c r="B15" s="139" t="s">
        <v>10</v>
      </c>
      <c r="C15" s="155">
        <v>5298050</v>
      </c>
      <c r="D15" s="156">
        <v>9.7040000000000001E-2</v>
      </c>
      <c r="E15" s="5">
        <v>514122.77</v>
      </c>
      <c r="F15" s="155">
        <v>1807480</v>
      </c>
      <c r="G15" s="156">
        <v>9.8549999999999999E-2</v>
      </c>
      <c r="H15" s="5">
        <v>178127.15999999992</v>
      </c>
      <c r="I15" s="155">
        <v>1506800</v>
      </c>
      <c r="J15" s="156">
        <v>9.9529999999999993E-2</v>
      </c>
      <c r="K15" s="5">
        <v>149971.81000000006</v>
      </c>
      <c r="L15" s="155">
        <v>3140570</v>
      </c>
      <c r="M15" s="156">
        <v>0.11705</v>
      </c>
      <c r="N15" s="5">
        <v>367603.7200000002</v>
      </c>
      <c r="O15" s="155">
        <v>3090470</v>
      </c>
      <c r="P15" s="156">
        <v>5.4170000000000003E-2</v>
      </c>
      <c r="Q15" s="5">
        <v>167410.76</v>
      </c>
      <c r="R15" s="155">
        <v>419910</v>
      </c>
      <c r="S15" s="156">
        <v>6.9889999999999994E-2</v>
      </c>
      <c r="T15" s="5">
        <v>29347.509999999776</v>
      </c>
      <c r="U15" s="155"/>
      <c r="V15" s="156"/>
      <c r="W15" s="5"/>
    </row>
    <row r="16" spans="2:23" ht="15" thickBot="1" x14ac:dyDescent="0.4">
      <c r="B16" s="139" t="s">
        <v>11</v>
      </c>
      <c r="C16" s="157">
        <v>3896110</v>
      </c>
      <c r="D16" s="158">
        <v>9.2069999999999999E-2</v>
      </c>
      <c r="E16" s="6">
        <v>358714.85000000009</v>
      </c>
      <c r="F16" s="157">
        <v>3020740</v>
      </c>
      <c r="G16" s="158">
        <v>7.4039999999999995E-2</v>
      </c>
      <c r="H16" s="6">
        <v>223655.59000000008</v>
      </c>
      <c r="I16" s="157">
        <v>1996200</v>
      </c>
      <c r="J16" s="158">
        <v>9.3210000000000001E-2</v>
      </c>
      <c r="K16" s="6">
        <v>186065.80000000005</v>
      </c>
      <c r="L16" s="157">
        <v>1979050</v>
      </c>
      <c r="M16" s="158">
        <v>0.10557999999999999</v>
      </c>
      <c r="N16" s="6">
        <v>208948.10000000009</v>
      </c>
      <c r="O16" s="157">
        <v>2661390</v>
      </c>
      <c r="P16" s="158">
        <v>5.9679999999999997E-2</v>
      </c>
      <c r="Q16" s="6">
        <v>158831.75000000012</v>
      </c>
      <c r="R16" s="157">
        <v>947060</v>
      </c>
      <c r="S16" s="158">
        <v>3.4270000000000002E-2</v>
      </c>
      <c r="T16" s="6">
        <v>32455.75</v>
      </c>
      <c r="U16" s="157"/>
      <c r="V16" s="158"/>
      <c r="W16" s="6"/>
    </row>
    <row r="17" spans="2:23" ht="15" thickBot="1" x14ac:dyDescent="0.4">
      <c r="B17" s="140" t="s">
        <v>14</v>
      </c>
      <c r="C17" s="8">
        <f>SUM(C5:C16)</f>
        <v>47853390</v>
      </c>
      <c r="D17" s="141">
        <f>E17/C17</f>
        <v>0.10270473502504211</v>
      </c>
      <c r="E17" s="9">
        <f>SUM(E5:E16)</f>
        <v>4914769.74</v>
      </c>
      <c r="F17" s="8">
        <f>SUM(F5:F16)</f>
        <v>41098744</v>
      </c>
      <c r="G17" s="141">
        <f>H17/F17</f>
        <v>9.4424165127771298E-2</v>
      </c>
      <c r="H17" s="9">
        <f>SUM(H5:H16)</f>
        <v>3880714.59</v>
      </c>
      <c r="I17" s="8">
        <f>SUM(I5:I16)</f>
        <v>30634900</v>
      </c>
      <c r="J17" s="141">
        <f>K17/I17</f>
        <v>0.10741059053563094</v>
      </c>
      <c r="K17" s="9">
        <f>SUM(K5:K16)</f>
        <v>3290512.7</v>
      </c>
      <c r="L17" s="8">
        <f>SUM(L5:L16)</f>
        <v>40156590</v>
      </c>
      <c r="M17" s="141">
        <f>N17/L17</f>
        <v>0.12139438582807953</v>
      </c>
      <c r="N17" s="9">
        <f>SUM(N5:N16)</f>
        <v>4874784.58</v>
      </c>
      <c r="O17" s="8">
        <f>SUM(O5:O16)</f>
        <v>36799160</v>
      </c>
      <c r="P17" s="141">
        <f>Q17/O17</f>
        <v>7.2789713949992313E-2</v>
      </c>
      <c r="Q17" s="9">
        <f>SUM(Q5:Q16)</f>
        <v>2678600.3299999991</v>
      </c>
      <c r="R17" s="8">
        <f>SUM(R5:R16)</f>
        <v>34760990</v>
      </c>
      <c r="S17" s="141">
        <f>T17/R17</f>
        <v>5.8490251284557766E-2</v>
      </c>
      <c r="T17" s="9">
        <f>SUM(T5:T16)</f>
        <v>2033179.0399999996</v>
      </c>
      <c r="U17" s="8">
        <f>SUM(U5:U16)</f>
        <v>33508151.109999999</v>
      </c>
      <c r="V17" s="141">
        <f>W17/U17</f>
        <v>7.4925270623205101E-2</v>
      </c>
      <c r="W17" s="9">
        <f>SUM(W5:W16)</f>
        <v>2510607.2900000005</v>
      </c>
    </row>
    <row r="18" spans="2:23" x14ac:dyDescent="0.35">
      <c r="B18" s="2"/>
    </row>
    <row r="19" spans="2:23" x14ac:dyDescent="0.35">
      <c r="B19" s="2"/>
      <c r="I19" s="170"/>
    </row>
    <row r="20" spans="2:23" x14ac:dyDescent="0.35">
      <c r="B20" s="191" t="s">
        <v>60</v>
      </c>
      <c r="C20" s="195"/>
      <c r="D20" s="195"/>
      <c r="E20" s="195"/>
      <c r="F20" s="195"/>
      <c r="G20" s="195"/>
      <c r="H20" s="195"/>
      <c r="I20" s="196"/>
    </row>
    <row r="21" spans="2:23" x14ac:dyDescent="0.35">
      <c r="B21" s="28"/>
      <c r="C21" s="163">
        <v>2017</v>
      </c>
      <c r="D21" s="163">
        <v>2018</v>
      </c>
      <c r="E21" s="163">
        <v>2019</v>
      </c>
      <c r="F21" s="163">
        <v>2020</v>
      </c>
      <c r="G21" s="163">
        <v>2021</v>
      </c>
      <c r="H21" s="163">
        <v>2022</v>
      </c>
      <c r="I21" s="134" t="s">
        <v>15</v>
      </c>
    </row>
    <row r="22" spans="2:23" x14ac:dyDescent="0.35">
      <c r="B22" s="28" t="s">
        <v>0</v>
      </c>
      <c r="D22" s="168">
        <f>AVERAGE($F22:$H22)/AVERAGE($F$34:$H$34)*D$34</f>
        <v>19993015.348075904</v>
      </c>
      <c r="E22" s="168">
        <f>AVERAGE($F22:$H22)/AVERAGE($F$34:$H$34)*E$34</f>
        <v>19851792.116210446</v>
      </c>
      <c r="F22" s="124">
        <v>18532699.559999999</v>
      </c>
      <c r="G22" s="124">
        <v>18108281</v>
      </c>
      <c r="H22" s="124">
        <v>21815284</v>
      </c>
      <c r="I22" s="159">
        <v>18297978.789999999</v>
      </c>
      <c r="Q22" s="3"/>
      <c r="R22" s="3"/>
      <c r="S22" s="3"/>
      <c r="T22" s="3"/>
      <c r="U22" s="3"/>
    </row>
    <row r="23" spans="2:23" x14ac:dyDescent="0.35">
      <c r="B23" s="28" t="s">
        <v>1</v>
      </c>
      <c r="D23" s="168">
        <f t="shared" ref="D23:E33" si="0">AVERAGE($F23:$H23)/AVERAGE($F$34:$H$34)*D$34</f>
        <v>18053329.087784704</v>
      </c>
      <c r="E23" s="168">
        <f t="shared" si="0"/>
        <v>17925807.078957107</v>
      </c>
      <c r="F23" s="124">
        <v>17122074.289999995</v>
      </c>
      <c r="G23" s="124">
        <v>17058986</v>
      </c>
      <c r="H23" s="124">
        <v>18603883</v>
      </c>
      <c r="I23" s="159">
        <v>17127145.93</v>
      </c>
      <c r="Q23" s="3"/>
      <c r="R23" s="3"/>
      <c r="S23" s="3"/>
      <c r="T23" s="3"/>
      <c r="U23" s="3"/>
    </row>
    <row r="24" spans="2:23" x14ac:dyDescent="0.35">
      <c r="B24" s="28" t="s">
        <v>2</v>
      </c>
      <c r="D24" s="168">
        <f t="shared" si="0"/>
        <v>17272986.426261805</v>
      </c>
      <c r="E24" s="168">
        <f t="shared" si="0"/>
        <v>17150976.468053091</v>
      </c>
      <c r="F24" s="124">
        <v>16257560.630000001</v>
      </c>
      <c r="G24" s="124">
        <v>16774215</v>
      </c>
      <c r="H24" s="124">
        <v>17471575</v>
      </c>
      <c r="I24" s="159">
        <v>17018167.98</v>
      </c>
      <c r="Q24" s="3"/>
      <c r="R24" s="3"/>
      <c r="S24" s="3"/>
      <c r="T24" s="3"/>
      <c r="U24" s="3"/>
    </row>
    <row r="25" spans="2:23" x14ac:dyDescent="0.35">
      <c r="B25" s="28" t="s">
        <v>3</v>
      </c>
      <c r="D25" s="168">
        <f t="shared" si="0"/>
        <v>14320657.567374827</v>
      </c>
      <c r="E25" s="168">
        <f t="shared" si="0"/>
        <v>14219501.763265578</v>
      </c>
      <c r="F25" s="124">
        <v>14169162.850000001</v>
      </c>
      <c r="G25" s="124">
        <v>13283172.32</v>
      </c>
      <c r="H25" s="124">
        <v>14418895</v>
      </c>
      <c r="I25" s="159">
        <v>14122661.539999999</v>
      </c>
      <c r="Q25" s="3"/>
      <c r="R25" s="3"/>
      <c r="S25" s="3"/>
      <c r="T25" s="3"/>
      <c r="U25" s="3"/>
    </row>
    <row r="26" spans="2:23" x14ac:dyDescent="0.35">
      <c r="B26" s="28" t="s">
        <v>4</v>
      </c>
      <c r="D26" s="168">
        <f t="shared" si="0"/>
        <v>13951225.092934867</v>
      </c>
      <c r="E26" s="168">
        <f t="shared" si="0"/>
        <v>13852678.822559681</v>
      </c>
      <c r="F26" s="124">
        <v>13581227.420000002</v>
      </c>
      <c r="G26" s="124">
        <v>13525305.4</v>
      </c>
      <c r="H26" s="124">
        <v>13684538</v>
      </c>
      <c r="I26" s="159">
        <v>13523423.939999999</v>
      </c>
      <c r="Q26" s="3"/>
      <c r="R26" s="3"/>
      <c r="S26" s="3"/>
      <c r="T26" s="3"/>
      <c r="U26" s="3"/>
    </row>
    <row r="27" spans="2:23" x14ac:dyDescent="0.35">
      <c r="B27" s="28" t="s">
        <v>5</v>
      </c>
      <c r="D27" s="168">
        <f t="shared" si="0"/>
        <v>14765624.29764352</v>
      </c>
      <c r="E27" s="168">
        <f t="shared" si="0"/>
        <v>14661325.413882347</v>
      </c>
      <c r="F27" s="124">
        <v>14310807.100000001</v>
      </c>
      <c r="G27" s="124">
        <v>14899498.07</v>
      </c>
      <c r="H27" s="124">
        <v>13961934</v>
      </c>
      <c r="I27" s="159">
        <v>0</v>
      </c>
      <c r="Q27" s="3"/>
      <c r="R27" s="3"/>
      <c r="S27" s="3"/>
      <c r="T27" s="3"/>
      <c r="U27" s="3"/>
    </row>
    <row r="28" spans="2:23" x14ac:dyDescent="0.35">
      <c r="B28" s="28" t="s">
        <v>6</v>
      </c>
      <c r="D28" s="168">
        <f t="shared" si="0"/>
        <v>16704937.038139086</v>
      </c>
      <c r="E28" s="168">
        <f t="shared" si="0"/>
        <v>16586939.569745103</v>
      </c>
      <c r="F28" s="124">
        <v>17697701.819999997</v>
      </c>
      <c r="G28" s="124">
        <v>15280453.51</v>
      </c>
      <c r="H28" s="124">
        <v>15864313</v>
      </c>
      <c r="I28" s="159">
        <v>0</v>
      </c>
      <c r="Q28" s="3"/>
      <c r="R28" s="3"/>
      <c r="S28" s="3"/>
      <c r="T28" s="3"/>
      <c r="U28" s="3"/>
    </row>
    <row r="29" spans="2:23" x14ac:dyDescent="0.35">
      <c r="B29" s="28" t="s">
        <v>7</v>
      </c>
      <c r="D29" s="168">
        <f t="shared" si="0"/>
        <v>16536185.434954928</v>
      </c>
      <c r="E29" s="168">
        <f t="shared" si="0"/>
        <v>16419379.965184927</v>
      </c>
      <c r="F29" s="124">
        <v>15178815.48</v>
      </c>
      <c r="G29" s="124">
        <v>17447380.119999997</v>
      </c>
      <c r="H29" s="124">
        <v>15722871</v>
      </c>
      <c r="I29" s="159">
        <v>0</v>
      </c>
      <c r="Q29" s="3"/>
      <c r="R29" s="3"/>
      <c r="S29" s="3"/>
      <c r="T29" s="3"/>
      <c r="U29" s="3"/>
    </row>
    <row r="30" spans="2:23" x14ac:dyDescent="0.35">
      <c r="B30" s="28" t="s">
        <v>8</v>
      </c>
      <c r="D30" s="168">
        <f t="shared" si="0"/>
        <v>13373983.720246311</v>
      </c>
      <c r="E30" s="168">
        <f t="shared" si="0"/>
        <v>13279514.868449477</v>
      </c>
      <c r="F30" s="124">
        <v>12631571.830000002</v>
      </c>
      <c r="G30" s="124">
        <v>13047454.850000001</v>
      </c>
      <c r="H30" s="124">
        <v>13424286</v>
      </c>
      <c r="I30" s="159">
        <v>0</v>
      </c>
      <c r="Q30" s="3"/>
      <c r="R30" s="3"/>
      <c r="S30" s="3"/>
      <c r="T30" s="3"/>
      <c r="U30" s="3"/>
    </row>
    <row r="31" spans="2:23" x14ac:dyDescent="0.35">
      <c r="B31" s="28" t="s">
        <v>9</v>
      </c>
      <c r="D31" s="168">
        <f t="shared" si="0"/>
        <v>14179379.48732389</v>
      </c>
      <c r="E31" s="168">
        <f t="shared" si="0"/>
        <v>14079221.619079199</v>
      </c>
      <c r="F31" s="124">
        <v>13822431.74</v>
      </c>
      <c r="G31" s="124">
        <v>13724579.729999999</v>
      </c>
      <c r="H31" s="124">
        <v>13911145</v>
      </c>
      <c r="I31" s="159">
        <v>0</v>
      </c>
    </row>
    <row r="32" spans="2:23" x14ac:dyDescent="0.35">
      <c r="B32" s="28" t="s">
        <v>10</v>
      </c>
      <c r="D32" s="168">
        <f>AVERAGE($F32:$H32)/AVERAGE($F$34:$H$34)*D$34</f>
        <v>15836289.69133297</v>
      </c>
      <c r="E32" s="168">
        <f t="shared" si="0"/>
        <v>15724428.025044452</v>
      </c>
      <c r="F32" s="124">
        <v>14799407.27</v>
      </c>
      <c r="G32" s="124">
        <v>15438886</v>
      </c>
      <c r="H32" s="124">
        <v>16064394.129999999</v>
      </c>
      <c r="I32" s="159">
        <v>0</v>
      </c>
      <c r="Q32" s="3"/>
      <c r="R32" s="3"/>
      <c r="S32" s="3"/>
      <c r="T32" s="3"/>
      <c r="U32" s="3"/>
    </row>
    <row r="33" spans="2:21" x14ac:dyDescent="0.35">
      <c r="B33" s="28" t="s">
        <v>11</v>
      </c>
      <c r="D33" s="168">
        <f t="shared" si="0"/>
        <v>18642255.807927199</v>
      </c>
      <c r="E33" s="168">
        <f t="shared" si="0"/>
        <v>18510573.839568611</v>
      </c>
      <c r="F33" s="124">
        <v>18400520.98</v>
      </c>
      <c r="G33" s="124">
        <v>18096479</v>
      </c>
      <c r="H33" s="124">
        <v>18009867.469999999</v>
      </c>
      <c r="I33" s="159">
        <v>0</v>
      </c>
      <c r="Q33" s="3"/>
      <c r="R33" s="3"/>
      <c r="S33" s="3"/>
      <c r="T33" s="3"/>
      <c r="U33" s="3"/>
    </row>
    <row r="34" spans="2:21" x14ac:dyDescent="0.35">
      <c r="B34" s="29" t="s">
        <v>14</v>
      </c>
      <c r="C34" s="164">
        <v>185695254.03</v>
      </c>
      <c r="D34" s="164">
        <v>193629869</v>
      </c>
      <c r="E34" s="164">
        <v>192262139.55000001</v>
      </c>
      <c r="F34" s="30">
        <f>SUM(F22:F33)</f>
        <v>186503980.97</v>
      </c>
      <c r="G34" s="30">
        <f>SUM(G22:G33)</f>
        <v>186684690.99999997</v>
      </c>
      <c r="H34" s="30">
        <f>SUM(H22:H33)</f>
        <v>192952985.59999999</v>
      </c>
      <c r="I34" s="31">
        <f>SUM(I22:I33)</f>
        <v>80089378.180000007</v>
      </c>
      <c r="Q34" s="3"/>
      <c r="R34" s="3"/>
      <c r="S34" s="3"/>
      <c r="T34" s="3"/>
      <c r="U34" s="3"/>
    </row>
    <row r="35" spans="2:21" x14ac:dyDescent="0.35">
      <c r="B35" s="2"/>
      <c r="C35" s="27">
        <v>177934181</v>
      </c>
      <c r="D35" s="27">
        <v>185198705</v>
      </c>
      <c r="E35" s="27">
        <v>183512928.40000001</v>
      </c>
      <c r="Q35" s="3"/>
      <c r="R35" s="3"/>
      <c r="S35" s="3"/>
      <c r="T35" s="3"/>
      <c r="U35" s="3"/>
    </row>
    <row r="36" spans="2:21" x14ac:dyDescent="0.35">
      <c r="B36" s="2"/>
      <c r="C36" s="27"/>
      <c r="D36" s="27"/>
      <c r="E36" s="27"/>
      <c r="Q36" s="3"/>
      <c r="R36" s="3"/>
      <c r="S36" s="3"/>
      <c r="T36" s="3"/>
      <c r="U36" s="3"/>
    </row>
    <row r="37" spans="2:21" x14ac:dyDescent="0.35">
      <c r="B37" s="191" t="s">
        <v>201</v>
      </c>
      <c r="C37" s="195"/>
      <c r="D37" s="195"/>
      <c r="E37" s="195"/>
      <c r="F37" s="195"/>
      <c r="G37" s="195"/>
      <c r="H37" s="195"/>
      <c r="I37" s="196"/>
      <c r="Q37" s="3"/>
      <c r="R37" s="3"/>
      <c r="S37" s="3"/>
      <c r="T37" s="3"/>
      <c r="U37" s="3"/>
    </row>
    <row r="38" spans="2:21" x14ac:dyDescent="0.35">
      <c r="B38" s="20"/>
      <c r="C38" s="163">
        <v>2017</v>
      </c>
      <c r="D38" s="163">
        <v>2018</v>
      </c>
      <c r="E38" s="163">
        <v>2019</v>
      </c>
      <c r="F38" s="163">
        <v>2020</v>
      </c>
      <c r="G38" s="163">
        <v>2021</v>
      </c>
      <c r="H38" s="163">
        <v>2022</v>
      </c>
      <c r="I38" s="134">
        <v>2023</v>
      </c>
      <c r="Q38" s="3"/>
      <c r="R38" s="3"/>
      <c r="S38" s="3"/>
      <c r="T38" s="3"/>
      <c r="U38" s="3"/>
    </row>
    <row r="39" spans="2:21" x14ac:dyDescent="0.35">
      <c r="B39" s="29" t="s">
        <v>14</v>
      </c>
      <c r="C39" s="186">
        <v>177934181</v>
      </c>
      <c r="D39" s="186">
        <v>185198705</v>
      </c>
      <c r="E39" s="186">
        <v>183512928</v>
      </c>
      <c r="F39" s="186">
        <v>178353238</v>
      </c>
      <c r="G39" s="186">
        <v>182112496</v>
      </c>
      <c r="H39" s="187">
        <v>185090366</v>
      </c>
      <c r="I39" s="24"/>
      <c r="Q39" s="3"/>
      <c r="R39" s="3"/>
      <c r="S39" s="3"/>
      <c r="T39" s="3"/>
      <c r="U39" s="3"/>
    </row>
    <row r="40" spans="2:21" x14ac:dyDescent="0.35">
      <c r="B40" s="2"/>
      <c r="C40" s="27"/>
      <c r="D40" s="27"/>
      <c r="E40" s="27"/>
      <c r="Q40" s="3"/>
      <c r="R40" s="3"/>
      <c r="S40" s="3"/>
      <c r="T40" s="3"/>
      <c r="U40" s="3"/>
    </row>
    <row r="41" spans="2:21" x14ac:dyDescent="0.35">
      <c r="B41" s="2"/>
      <c r="I41" s="16"/>
      <c r="J41" s="16"/>
      <c r="M41" s="3"/>
      <c r="Q41" s="3"/>
      <c r="R41" s="3"/>
      <c r="S41" s="3"/>
      <c r="T41" s="3"/>
      <c r="U41" s="3"/>
    </row>
    <row r="42" spans="2:21" ht="15" customHeight="1" x14ac:dyDescent="0.35">
      <c r="B42" s="192" t="s">
        <v>54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4"/>
      <c r="Q42" s="3"/>
      <c r="R42" s="3"/>
      <c r="S42" s="3"/>
      <c r="T42" s="3"/>
      <c r="U42" s="3"/>
    </row>
    <row r="43" spans="2:21" ht="15" customHeight="1" x14ac:dyDescent="0.35">
      <c r="B43" s="165" t="s">
        <v>147</v>
      </c>
      <c r="C43" s="190" t="s">
        <v>82</v>
      </c>
      <c r="D43" s="190"/>
      <c r="E43" s="190"/>
      <c r="F43" s="190"/>
      <c r="G43" s="190"/>
      <c r="H43" s="191"/>
      <c r="I43" s="191" t="s">
        <v>199</v>
      </c>
      <c r="J43" s="195"/>
      <c r="K43" s="195"/>
      <c r="L43" s="195"/>
      <c r="M43" s="195"/>
      <c r="N43" s="196"/>
      <c r="Q43" s="3"/>
      <c r="R43" s="3"/>
      <c r="S43" s="3"/>
      <c r="T43" s="3"/>
      <c r="U43" s="3"/>
    </row>
    <row r="44" spans="2:21" s="14" customFormat="1" ht="31.5" customHeight="1" x14ac:dyDescent="0.35">
      <c r="B44" s="32"/>
      <c r="C44" s="14">
        <v>2017</v>
      </c>
      <c r="D44" s="14">
        <v>2018</v>
      </c>
      <c r="E44" s="14">
        <v>2019</v>
      </c>
      <c r="F44" s="14">
        <v>2020</v>
      </c>
      <c r="G44" s="14">
        <v>2021</v>
      </c>
      <c r="H44" s="14">
        <v>2022</v>
      </c>
      <c r="I44" s="64" t="str">
        <f>"Average "&amp;$C$44&amp;" to "&amp;C44</f>
        <v>Average 2017 to 2017</v>
      </c>
      <c r="J44" s="160" t="str">
        <f>"Average "&amp;$C$44&amp;" to "&amp;D44</f>
        <v>Average 2017 to 2018</v>
      </c>
      <c r="K44" s="160" t="str">
        <f>"Average "&amp;$C$44&amp;" to "&amp;E44</f>
        <v>Average 2017 to 2019</v>
      </c>
      <c r="L44" s="160" t="str">
        <f>"Average "&amp;C44&amp;" to "&amp;F44</f>
        <v>Average 2017 to 2020</v>
      </c>
      <c r="M44" s="160" t="str">
        <f>"Average "&amp;D44&amp;" to "&amp;G44</f>
        <v>Average 2018 to 2021</v>
      </c>
      <c r="N44" s="33" t="str">
        <f>"Average "&amp;E44&amp;" to "&amp;H44</f>
        <v>Average 2019 to 2022</v>
      </c>
      <c r="O44"/>
      <c r="Q44" s="15"/>
      <c r="R44" s="15"/>
      <c r="S44" s="15"/>
      <c r="T44" s="15"/>
      <c r="U44" s="15"/>
    </row>
    <row r="45" spans="2:21" x14ac:dyDescent="0.35">
      <c r="B45" s="28" t="s">
        <v>0</v>
      </c>
      <c r="C45" s="161">
        <f t="shared" ref="C45:C56" si="1">C5</f>
        <v>2134510</v>
      </c>
      <c r="D45" s="161">
        <f t="shared" ref="D45:D56" si="2">F5</f>
        <v>2813138</v>
      </c>
      <c r="E45" s="124">
        <f t="shared" ref="E45:E56" si="3">I5</f>
        <v>2196000</v>
      </c>
      <c r="F45" s="161">
        <f t="shared" ref="F45:F56" si="4">L5</f>
        <v>2089120</v>
      </c>
      <c r="G45" s="161">
        <f t="shared" ref="G45:G56" si="5">O5</f>
        <v>1805830</v>
      </c>
      <c r="H45" s="161">
        <f t="shared" ref="H45:H56" si="6">R5</f>
        <v>857320</v>
      </c>
      <c r="I45" s="166">
        <f>AVERAGE($C45:C45)</f>
        <v>2134510</v>
      </c>
      <c r="J45" s="162">
        <f>AVERAGE($C45:D45)</f>
        <v>2473824</v>
      </c>
      <c r="K45" s="162">
        <f>AVERAGE($C45:E45)</f>
        <v>2381216</v>
      </c>
      <c r="L45" s="162">
        <f t="shared" ref="L45:L56" si="7">AVERAGE(C45:F45)</f>
        <v>2308192</v>
      </c>
      <c r="M45" s="162">
        <f t="shared" ref="M45:M56" si="8">AVERAGE(D45:G45)</f>
        <v>2226022</v>
      </c>
      <c r="N45" s="34">
        <f t="shared" ref="N45:N56" si="9">AVERAGE(E45:H45)</f>
        <v>1737067.5</v>
      </c>
      <c r="R45" s="10"/>
      <c r="U45" s="10"/>
    </row>
    <row r="46" spans="2:21" x14ac:dyDescent="0.35">
      <c r="B46" s="28" t="s">
        <v>1</v>
      </c>
      <c r="C46" s="161">
        <f t="shared" si="1"/>
        <v>2975320</v>
      </c>
      <c r="D46" s="161">
        <f t="shared" si="2"/>
        <v>3302320</v>
      </c>
      <c r="E46" s="124">
        <f t="shared" si="3"/>
        <v>2533990</v>
      </c>
      <c r="F46" s="161">
        <f t="shared" si="4"/>
        <v>1688900</v>
      </c>
      <c r="G46" s="161">
        <f t="shared" si="5"/>
        <v>1373740</v>
      </c>
      <c r="H46" s="161">
        <f t="shared" si="6"/>
        <v>640680</v>
      </c>
      <c r="I46" s="166">
        <f>AVERAGE($C46:C46)</f>
        <v>2975320</v>
      </c>
      <c r="J46" s="162">
        <f>AVERAGE($C46:D46)</f>
        <v>3138820</v>
      </c>
      <c r="K46" s="162">
        <f>AVERAGE($C46:E46)</f>
        <v>2937210</v>
      </c>
      <c r="L46" s="162">
        <f t="shared" si="7"/>
        <v>2625132.5</v>
      </c>
      <c r="M46" s="162">
        <f t="shared" si="8"/>
        <v>2224737.5</v>
      </c>
      <c r="N46" s="34">
        <f t="shared" si="9"/>
        <v>1559327.5</v>
      </c>
    </row>
    <row r="47" spans="2:21" x14ac:dyDescent="0.35">
      <c r="B47" s="28" t="s">
        <v>2</v>
      </c>
      <c r="C47" s="161">
        <f t="shared" si="1"/>
        <v>3883530</v>
      </c>
      <c r="D47" s="161">
        <f t="shared" si="2"/>
        <v>4336290</v>
      </c>
      <c r="E47" s="124">
        <f t="shared" si="3"/>
        <v>4480180</v>
      </c>
      <c r="F47" s="161">
        <f t="shared" si="4"/>
        <v>3223950</v>
      </c>
      <c r="G47" s="161">
        <f t="shared" si="5"/>
        <v>2724430</v>
      </c>
      <c r="H47" s="161">
        <f t="shared" si="6"/>
        <v>2937880</v>
      </c>
      <c r="I47" s="166">
        <f>AVERAGE($C47:C47)</f>
        <v>3883530</v>
      </c>
      <c r="J47" s="162">
        <f>AVERAGE($C47:D47)</f>
        <v>4109910</v>
      </c>
      <c r="K47" s="162">
        <f>AVERAGE($C47:E47)</f>
        <v>4233333.333333333</v>
      </c>
      <c r="L47" s="162">
        <f t="shared" si="7"/>
        <v>3980987.5</v>
      </c>
      <c r="M47" s="162">
        <f t="shared" si="8"/>
        <v>3691212.5</v>
      </c>
      <c r="N47" s="34">
        <f t="shared" si="9"/>
        <v>3341610</v>
      </c>
    </row>
    <row r="48" spans="2:21" x14ac:dyDescent="0.35">
      <c r="B48" s="28" t="s">
        <v>3</v>
      </c>
      <c r="C48" s="161">
        <f t="shared" si="1"/>
        <v>4799720</v>
      </c>
      <c r="D48" s="161">
        <f t="shared" si="2"/>
        <v>4359310</v>
      </c>
      <c r="E48" s="124">
        <f t="shared" si="3"/>
        <v>2161930</v>
      </c>
      <c r="F48" s="161">
        <f t="shared" si="4"/>
        <v>3323490</v>
      </c>
      <c r="G48" s="161">
        <f t="shared" si="5"/>
        <v>4398280</v>
      </c>
      <c r="H48" s="161">
        <f t="shared" si="6"/>
        <v>4152090</v>
      </c>
      <c r="I48" s="166">
        <f>AVERAGE($C48:C48)</f>
        <v>4799720</v>
      </c>
      <c r="J48" s="162">
        <f>AVERAGE($C48:D48)</f>
        <v>4579515</v>
      </c>
      <c r="K48" s="162">
        <f>AVERAGE($C48:E48)</f>
        <v>3773653.3333333335</v>
      </c>
      <c r="L48" s="162">
        <f t="shared" si="7"/>
        <v>3661112.5</v>
      </c>
      <c r="M48" s="162">
        <f t="shared" si="8"/>
        <v>3560752.5</v>
      </c>
      <c r="N48" s="34">
        <f t="shared" si="9"/>
        <v>3508947.5</v>
      </c>
    </row>
    <row r="49" spans="2:14" x14ac:dyDescent="0.35">
      <c r="B49" s="28" t="s">
        <v>4</v>
      </c>
      <c r="C49" s="161">
        <f t="shared" si="1"/>
        <v>5096570</v>
      </c>
      <c r="D49" s="161">
        <f t="shared" si="2"/>
        <v>5824650</v>
      </c>
      <c r="E49" s="124">
        <f t="shared" si="3"/>
        <v>573300</v>
      </c>
      <c r="F49" s="161">
        <f t="shared" si="4"/>
        <v>4369220</v>
      </c>
      <c r="G49" s="161">
        <f t="shared" si="5"/>
        <v>3333080</v>
      </c>
      <c r="H49" s="161">
        <f t="shared" si="6"/>
        <v>5665250</v>
      </c>
      <c r="I49" s="166">
        <f>AVERAGE($C49:C49)</f>
        <v>5096570</v>
      </c>
      <c r="J49" s="162">
        <f>AVERAGE($C49:D49)</f>
        <v>5460610</v>
      </c>
      <c r="K49" s="162">
        <f>AVERAGE($C49:E49)</f>
        <v>3831506.6666666665</v>
      </c>
      <c r="L49" s="162">
        <f t="shared" si="7"/>
        <v>3965935</v>
      </c>
      <c r="M49" s="162">
        <f t="shared" si="8"/>
        <v>3525062.5</v>
      </c>
      <c r="N49" s="34">
        <f t="shared" si="9"/>
        <v>3485212.5</v>
      </c>
    </row>
    <row r="50" spans="2:14" x14ac:dyDescent="0.35">
      <c r="B50" s="28" t="s">
        <v>5</v>
      </c>
      <c r="C50" s="161">
        <f t="shared" si="1"/>
        <v>5673460</v>
      </c>
      <c r="D50" s="161">
        <f t="shared" si="2"/>
        <v>5836836</v>
      </c>
      <c r="E50" s="124">
        <f t="shared" si="3"/>
        <v>2446170</v>
      </c>
      <c r="F50" s="161">
        <f t="shared" si="4"/>
        <v>4206240</v>
      </c>
      <c r="G50" s="161">
        <f t="shared" si="5"/>
        <v>1333260</v>
      </c>
      <c r="H50" s="161">
        <f t="shared" si="6"/>
        <v>5632520</v>
      </c>
      <c r="I50" s="166">
        <f>AVERAGE($C50:C50)</f>
        <v>5673460</v>
      </c>
      <c r="J50" s="162">
        <f>AVERAGE($C50:D50)</f>
        <v>5755148</v>
      </c>
      <c r="K50" s="162">
        <f>AVERAGE($C50:E50)</f>
        <v>4652155.333333333</v>
      </c>
      <c r="L50" s="162">
        <f t="shared" si="7"/>
        <v>4540676.5</v>
      </c>
      <c r="M50" s="162">
        <f t="shared" si="8"/>
        <v>3455626.5</v>
      </c>
      <c r="N50" s="34">
        <f t="shared" si="9"/>
        <v>3404547.5</v>
      </c>
    </row>
    <row r="51" spans="2:14" x14ac:dyDescent="0.35">
      <c r="B51" s="28" t="s">
        <v>6</v>
      </c>
      <c r="C51" s="161">
        <f t="shared" si="1"/>
        <v>5380900</v>
      </c>
      <c r="D51" s="161">
        <f t="shared" si="2"/>
        <v>2286590</v>
      </c>
      <c r="E51" s="124">
        <f t="shared" si="3"/>
        <v>3676680</v>
      </c>
      <c r="F51" s="161">
        <f t="shared" si="4"/>
        <v>3494520</v>
      </c>
      <c r="G51" s="161">
        <f t="shared" si="5"/>
        <v>3685060</v>
      </c>
      <c r="H51" s="161">
        <f t="shared" si="6"/>
        <v>4101700</v>
      </c>
      <c r="I51" s="166">
        <f>AVERAGE($C51:C51)</f>
        <v>5380900</v>
      </c>
      <c r="J51" s="162">
        <f>AVERAGE($C51:D51)</f>
        <v>3833745</v>
      </c>
      <c r="K51" s="162">
        <f>AVERAGE($C51:E51)</f>
        <v>3781390</v>
      </c>
      <c r="L51" s="162">
        <f t="shared" si="7"/>
        <v>3709672.5</v>
      </c>
      <c r="M51" s="162">
        <f t="shared" si="8"/>
        <v>3285712.5</v>
      </c>
      <c r="N51" s="34">
        <f t="shared" si="9"/>
        <v>3739490</v>
      </c>
    </row>
    <row r="52" spans="2:14" x14ac:dyDescent="0.35">
      <c r="B52" s="28" t="s">
        <v>7</v>
      </c>
      <c r="C52" s="161">
        <f t="shared" si="1"/>
        <v>2756940</v>
      </c>
      <c r="D52" s="161">
        <f t="shared" si="2"/>
        <v>2719400</v>
      </c>
      <c r="E52" s="124">
        <f t="shared" si="3"/>
        <v>3537380</v>
      </c>
      <c r="F52" s="161">
        <f t="shared" si="4"/>
        <v>4660990</v>
      </c>
      <c r="G52" s="161">
        <f t="shared" si="5"/>
        <v>4492060</v>
      </c>
      <c r="H52" s="161">
        <f t="shared" si="6"/>
        <v>2637510</v>
      </c>
      <c r="I52" s="166">
        <f>AVERAGE($C52:C52)</f>
        <v>2756940</v>
      </c>
      <c r="J52" s="162">
        <f>AVERAGE($C52:D52)</f>
        <v>2738170</v>
      </c>
      <c r="K52" s="162">
        <f>AVERAGE($C52:E52)</f>
        <v>3004573.3333333335</v>
      </c>
      <c r="L52" s="162">
        <f t="shared" si="7"/>
        <v>3418677.5</v>
      </c>
      <c r="M52" s="162">
        <f t="shared" si="8"/>
        <v>3852457.5</v>
      </c>
      <c r="N52" s="34">
        <f t="shared" si="9"/>
        <v>3831985</v>
      </c>
    </row>
    <row r="53" spans="2:14" x14ac:dyDescent="0.35">
      <c r="B53" s="28" t="s">
        <v>8</v>
      </c>
      <c r="C53" s="161">
        <f t="shared" si="1"/>
        <v>3210200</v>
      </c>
      <c r="D53" s="161">
        <f t="shared" si="2"/>
        <v>3075670</v>
      </c>
      <c r="E53" s="124">
        <f t="shared" si="3"/>
        <v>2684440</v>
      </c>
      <c r="F53" s="161">
        <f t="shared" si="4"/>
        <v>4094420</v>
      </c>
      <c r="G53" s="161">
        <f t="shared" si="5"/>
        <v>2697760</v>
      </c>
      <c r="H53" s="161">
        <f t="shared" si="6"/>
        <v>4344770</v>
      </c>
      <c r="I53" s="166">
        <f>AVERAGE($C53:C53)</f>
        <v>3210200</v>
      </c>
      <c r="J53" s="162">
        <f>AVERAGE($C53:D53)</f>
        <v>3142935</v>
      </c>
      <c r="K53" s="162">
        <f>AVERAGE($C53:E53)</f>
        <v>2990103.3333333335</v>
      </c>
      <c r="L53" s="162">
        <f t="shared" si="7"/>
        <v>3266182.5</v>
      </c>
      <c r="M53" s="162">
        <f t="shared" si="8"/>
        <v>3138072.5</v>
      </c>
      <c r="N53" s="34">
        <f t="shared" si="9"/>
        <v>3455347.5</v>
      </c>
    </row>
    <row r="54" spans="2:14" x14ac:dyDescent="0.35">
      <c r="B54" s="28" t="s">
        <v>9</v>
      </c>
      <c r="C54" s="161">
        <f t="shared" si="1"/>
        <v>2748080</v>
      </c>
      <c r="D54" s="161">
        <f t="shared" si="2"/>
        <v>1716320</v>
      </c>
      <c r="E54" s="124">
        <f t="shared" si="3"/>
        <v>2841830</v>
      </c>
      <c r="F54" s="161">
        <f t="shared" si="4"/>
        <v>3886120</v>
      </c>
      <c r="G54" s="161">
        <f t="shared" si="5"/>
        <v>5203800</v>
      </c>
      <c r="H54" s="161">
        <f t="shared" si="6"/>
        <v>2424300</v>
      </c>
      <c r="I54" s="166">
        <f>AVERAGE($C54:C54)</f>
        <v>2748080</v>
      </c>
      <c r="J54" s="162">
        <f>AVERAGE($C54:D54)</f>
        <v>2232200</v>
      </c>
      <c r="K54" s="162">
        <f>AVERAGE($C54:E54)</f>
        <v>2435410</v>
      </c>
      <c r="L54" s="162">
        <f t="shared" si="7"/>
        <v>2798087.5</v>
      </c>
      <c r="M54" s="162">
        <f t="shared" si="8"/>
        <v>3412017.5</v>
      </c>
      <c r="N54" s="34">
        <f t="shared" si="9"/>
        <v>3589012.5</v>
      </c>
    </row>
    <row r="55" spans="2:14" x14ac:dyDescent="0.35">
      <c r="B55" s="28" t="s">
        <v>10</v>
      </c>
      <c r="C55" s="161">
        <f t="shared" si="1"/>
        <v>5298050</v>
      </c>
      <c r="D55" s="161">
        <f t="shared" si="2"/>
        <v>1807480</v>
      </c>
      <c r="E55" s="124">
        <f t="shared" si="3"/>
        <v>1506800</v>
      </c>
      <c r="F55" s="161">
        <f t="shared" si="4"/>
        <v>3140570</v>
      </c>
      <c r="G55" s="161">
        <f t="shared" si="5"/>
        <v>3090470</v>
      </c>
      <c r="H55" s="161">
        <f t="shared" si="6"/>
        <v>419910</v>
      </c>
      <c r="I55" s="166">
        <f>AVERAGE($C55:C55)</f>
        <v>5298050</v>
      </c>
      <c r="J55" s="162">
        <f>AVERAGE($C55:D55)</f>
        <v>3552765</v>
      </c>
      <c r="K55" s="162">
        <f>AVERAGE($C55:E55)</f>
        <v>2870776.6666666665</v>
      </c>
      <c r="L55" s="162">
        <f t="shared" si="7"/>
        <v>2938225</v>
      </c>
      <c r="M55" s="162">
        <f t="shared" si="8"/>
        <v>2386330</v>
      </c>
      <c r="N55" s="34">
        <f t="shared" si="9"/>
        <v>2039437.5</v>
      </c>
    </row>
    <row r="56" spans="2:14" x14ac:dyDescent="0.35">
      <c r="B56" s="28" t="s">
        <v>11</v>
      </c>
      <c r="C56" s="161">
        <f t="shared" si="1"/>
        <v>3896110</v>
      </c>
      <c r="D56" s="161">
        <f t="shared" si="2"/>
        <v>3020740</v>
      </c>
      <c r="E56" s="124">
        <f t="shared" si="3"/>
        <v>1996200</v>
      </c>
      <c r="F56" s="161">
        <f t="shared" si="4"/>
        <v>1979050</v>
      </c>
      <c r="G56" s="161">
        <f t="shared" si="5"/>
        <v>2661390</v>
      </c>
      <c r="H56" s="161">
        <f t="shared" si="6"/>
        <v>947060</v>
      </c>
      <c r="I56" s="166">
        <f>AVERAGE($C56:C56)</f>
        <v>3896110</v>
      </c>
      <c r="J56" s="162">
        <f>AVERAGE($C56:D56)</f>
        <v>3458425</v>
      </c>
      <c r="K56" s="162">
        <f>AVERAGE($C56:E56)</f>
        <v>2971016.6666666665</v>
      </c>
      <c r="L56" s="162">
        <f t="shared" si="7"/>
        <v>2723025</v>
      </c>
      <c r="M56" s="162">
        <f t="shared" si="8"/>
        <v>2414345</v>
      </c>
      <c r="N56" s="34">
        <f t="shared" si="9"/>
        <v>1895925</v>
      </c>
    </row>
    <row r="57" spans="2:14" x14ac:dyDescent="0.35">
      <c r="B57" s="29" t="s">
        <v>14</v>
      </c>
      <c r="C57" s="30">
        <f t="shared" ref="C57:N57" si="10">SUM(C45:C56)</f>
        <v>47853390</v>
      </c>
      <c r="D57" s="30">
        <f t="shared" si="10"/>
        <v>41098744</v>
      </c>
      <c r="E57" s="30">
        <f t="shared" si="10"/>
        <v>30634900</v>
      </c>
      <c r="F57" s="30">
        <f t="shared" si="10"/>
        <v>40156590</v>
      </c>
      <c r="G57" s="30">
        <f t="shared" si="10"/>
        <v>36799160</v>
      </c>
      <c r="H57" s="30">
        <f t="shared" si="10"/>
        <v>34760990</v>
      </c>
      <c r="I57" s="167">
        <f t="shared" si="10"/>
        <v>47853390</v>
      </c>
      <c r="J57" s="30">
        <f t="shared" si="10"/>
        <v>44476067</v>
      </c>
      <c r="K57" s="30">
        <f t="shared" si="10"/>
        <v>39862344.666666657</v>
      </c>
      <c r="L57" s="30">
        <f t="shared" si="10"/>
        <v>39935906</v>
      </c>
      <c r="M57" s="30">
        <f t="shared" si="10"/>
        <v>37172348.5</v>
      </c>
      <c r="N57" s="31">
        <f t="shared" si="10"/>
        <v>35587910</v>
      </c>
    </row>
    <row r="58" spans="2:14" x14ac:dyDescent="0.35">
      <c r="B58" s="2"/>
    </row>
    <row r="59" spans="2:14" x14ac:dyDescent="0.35">
      <c r="B59" s="197" t="s">
        <v>71</v>
      </c>
      <c r="C59" s="198"/>
      <c r="D59" s="199"/>
    </row>
    <row r="60" spans="2:14" x14ac:dyDescent="0.35">
      <c r="B60" s="37" t="s">
        <v>53</v>
      </c>
      <c r="C60" s="16" t="s">
        <v>55</v>
      </c>
      <c r="D60" s="38" t="s">
        <v>53</v>
      </c>
    </row>
    <row r="61" spans="2:14" x14ac:dyDescent="0.35">
      <c r="B61" s="20">
        <v>2019</v>
      </c>
      <c r="C61" s="148">
        <v>102.22</v>
      </c>
      <c r="D61" s="21" t="s">
        <v>62</v>
      </c>
    </row>
    <row r="62" spans="2:14" x14ac:dyDescent="0.35">
      <c r="B62" s="20">
        <v>2020</v>
      </c>
      <c r="C62" s="148">
        <v>106.94</v>
      </c>
      <c r="D62" s="21" t="s">
        <v>56</v>
      </c>
    </row>
    <row r="63" spans="2:14" x14ac:dyDescent="0.35">
      <c r="B63" s="35">
        <v>2021</v>
      </c>
      <c r="C63" s="148">
        <v>109.47</v>
      </c>
      <c r="D63" s="21" t="s">
        <v>57</v>
      </c>
    </row>
    <row r="64" spans="2:14" x14ac:dyDescent="0.35">
      <c r="B64" s="35">
        <v>2022</v>
      </c>
      <c r="C64" s="148">
        <v>68.78</v>
      </c>
      <c r="D64" s="21" t="s">
        <v>58</v>
      </c>
    </row>
    <row r="65" spans="2:6" x14ac:dyDescent="0.35">
      <c r="B65" s="35">
        <v>2023</v>
      </c>
      <c r="C65" s="148">
        <v>36.04</v>
      </c>
      <c r="D65" s="21" t="s">
        <v>59</v>
      </c>
    </row>
    <row r="66" spans="2:6" x14ac:dyDescent="0.35">
      <c r="B66" s="36">
        <v>2024</v>
      </c>
      <c r="C66" s="172">
        <v>72.86</v>
      </c>
      <c r="D66" s="24" t="s">
        <v>162</v>
      </c>
    </row>
    <row r="68" spans="2:6" x14ac:dyDescent="0.35">
      <c r="B68" s="197" t="s">
        <v>61</v>
      </c>
      <c r="C68" s="199"/>
    </row>
    <row r="69" spans="2:6" x14ac:dyDescent="0.35">
      <c r="B69" s="37"/>
      <c r="C69" s="38" t="s">
        <v>20</v>
      </c>
    </row>
    <row r="70" spans="2:6" x14ac:dyDescent="0.35">
      <c r="B70" s="37" t="s">
        <v>63</v>
      </c>
      <c r="C70" s="173">
        <v>2.4500000000000002</v>
      </c>
    </row>
    <row r="71" spans="2:6" x14ac:dyDescent="0.35">
      <c r="B71" s="37" t="s">
        <v>64</v>
      </c>
      <c r="C71" s="173">
        <v>2.1800000000000002</v>
      </c>
    </row>
    <row r="72" spans="2:6" x14ac:dyDescent="0.35">
      <c r="B72" s="37" t="s">
        <v>65</v>
      </c>
      <c r="C72" s="173">
        <v>2.1800000000000002</v>
      </c>
    </row>
    <row r="73" spans="2:6" x14ac:dyDescent="0.35">
      <c r="B73" s="37" t="s">
        <v>66</v>
      </c>
      <c r="C73" s="173">
        <v>2.1800000000000002</v>
      </c>
    </row>
    <row r="74" spans="2:6" x14ac:dyDescent="0.35">
      <c r="B74" s="37" t="s">
        <v>52</v>
      </c>
      <c r="C74" s="173">
        <v>2.1800000000000002</v>
      </c>
      <c r="F74" s="3"/>
    </row>
    <row r="75" spans="2:6" x14ac:dyDescent="0.35">
      <c r="B75" s="37" t="s">
        <v>51</v>
      </c>
      <c r="C75" s="173">
        <v>2.1800000000000002</v>
      </c>
      <c r="F75" s="3"/>
    </row>
    <row r="76" spans="2:6" x14ac:dyDescent="0.35">
      <c r="B76" s="37" t="s">
        <v>50</v>
      </c>
      <c r="C76" s="173">
        <v>0.56999999999999995</v>
      </c>
      <c r="F76" s="3"/>
    </row>
    <row r="77" spans="2:6" x14ac:dyDescent="0.35">
      <c r="B77" s="37" t="s">
        <v>49</v>
      </c>
      <c r="C77" s="173">
        <v>0.56999999999999995</v>
      </c>
      <c r="F77" s="3"/>
    </row>
    <row r="78" spans="2:6" x14ac:dyDescent="0.35">
      <c r="B78" s="37" t="s">
        <v>48</v>
      </c>
      <c r="C78" s="173">
        <v>0.56999999999999995</v>
      </c>
      <c r="F78" s="3"/>
    </row>
    <row r="79" spans="2:6" x14ac:dyDescent="0.35">
      <c r="B79" s="37" t="s">
        <v>47</v>
      </c>
      <c r="C79" s="173">
        <v>0.56999999999999995</v>
      </c>
      <c r="F79" s="3"/>
    </row>
    <row r="80" spans="2:6" x14ac:dyDescent="0.35">
      <c r="B80" s="37" t="s">
        <v>46</v>
      </c>
      <c r="C80" s="173">
        <v>0.56999999999999995</v>
      </c>
      <c r="F80" s="3"/>
    </row>
    <row r="81" spans="2:6" x14ac:dyDescent="0.35">
      <c r="B81" s="37" t="s">
        <v>45</v>
      </c>
      <c r="C81" s="173">
        <v>0.56999999999999995</v>
      </c>
    </row>
    <row r="82" spans="2:6" x14ac:dyDescent="0.35">
      <c r="B82" s="37" t="s">
        <v>44</v>
      </c>
      <c r="C82" s="173">
        <v>0.56999999999999995</v>
      </c>
      <c r="F82" s="3"/>
    </row>
    <row r="83" spans="2:6" x14ac:dyDescent="0.35">
      <c r="B83" s="37" t="s">
        <v>43</v>
      </c>
      <c r="C83" s="173">
        <v>1.02</v>
      </c>
      <c r="F83" s="3"/>
    </row>
    <row r="84" spans="2:6" x14ac:dyDescent="0.35">
      <c r="B84" s="37" t="s">
        <v>42</v>
      </c>
      <c r="C84" s="173">
        <v>2.2000000000000002</v>
      </c>
      <c r="F84" s="3"/>
    </row>
    <row r="85" spans="2:6" x14ac:dyDescent="0.35">
      <c r="B85" s="37" t="s">
        <v>41</v>
      </c>
      <c r="C85" s="173">
        <v>3.87</v>
      </c>
      <c r="F85" s="3"/>
    </row>
    <row r="86" spans="2:6" x14ac:dyDescent="0.35">
      <c r="B86" s="37" t="s">
        <v>40</v>
      </c>
      <c r="C86" s="173">
        <v>4.7300000000000004</v>
      </c>
    </row>
    <row r="87" spans="2:6" x14ac:dyDescent="0.35">
      <c r="B87" s="37" t="s">
        <v>39</v>
      </c>
      <c r="C87" s="173">
        <v>4.9800000000000004</v>
      </c>
    </row>
    <row r="88" spans="2:6" x14ac:dyDescent="0.35">
      <c r="B88" s="37" t="s">
        <v>38</v>
      </c>
      <c r="C88" s="173">
        <v>4.9800000000000004</v>
      </c>
    </row>
    <row r="89" spans="2:6" x14ac:dyDescent="0.35">
      <c r="B89" s="37" t="s">
        <v>37</v>
      </c>
      <c r="C89" s="173">
        <v>5.49</v>
      </c>
    </row>
    <row r="90" spans="2:6" x14ac:dyDescent="0.35">
      <c r="B90" s="39" t="s">
        <v>222</v>
      </c>
      <c r="C90" s="174">
        <v>5.49</v>
      </c>
    </row>
    <row r="103" spans="2:16" x14ac:dyDescent="0.35">
      <c r="B103" s="2"/>
    </row>
    <row r="104" spans="2:16" x14ac:dyDescent="0.35">
      <c r="B104" s="2"/>
      <c r="G104" s="12"/>
      <c r="H104" s="2"/>
    </row>
    <row r="105" spans="2:16" x14ac:dyDescent="0.35">
      <c r="B105" s="2"/>
      <c r="G105" s="2"/>
      <c r="H105" s="12"/>
      <c r="O105" s="2"/>
    </row>
    <row r="106" spans="2:16" x14ac:dyDescent="0.35">
      <c r="B106" s="2"/>
      <c r="G106" s="2"/>
      <c r="H106" s="12"/>
      <c r="O106" s="2"/>
      <c r="P106" s="7"/>
    </row>
    <row r="107" spans="2:16" x14ac:dyDescent="0.35">
      <c r="B107" s="2"/>
      <c r="G107" s="2"/>
      <c r="H107" s="2"/>
      <c r="O107" s="2"/>
      <c r="P107" s="13"/>
    </row>
    <row r="108" spans="2:16" x14ac:dyDescent="0.35">
      <c r="B108" s="2"/>
      <c r="H108" s="13"/>
    </row>
  </sheetData>
  <mergeCells count="15">
    <mergeCell ref="B20:I20"/>
    <mergeCell ref="B37:I37"/>
    <mergeCell ref="C2:W2"/>
    <mergeCell ref="F3:H3"/>
    <mergeCell ref="I3:K3"/>
    <mergeCell ref="L3:N3"/>
    <mergeCell ref="O3:Q3"/>
    <mergeCell ref="R3:T3"/>
    <mergeCell ref="U3:W3"/>
    <mergeCell ref="C3:E3"/>
    <mergeCell ref="C43:H43"/>
    <mergeCell ref="B42:N42"/>
    <mergeCell ref="I43:N43"/>
    <mergeCell ref="B59:D59"/>
    <mergeCell ref="B68:C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9CDCD-209C-41C4-915A-310C00660E32}">
  <dimension ref="A1:Z57"/>
  <sheetViews>
    <sheetView topLeftCell="C1" zoomScaleNormal="100" workbookViewId="0">
      <selection activeCell="F52" sqref="F52"/>
    </sheetView>
  </sheetViews>
  <sheetFormatPr defaultRowHeight="14.5" x14ac:dyDescent="0.35"/>
  <cols>
    <col min="3" max="3" width="35.1796875" bestFit="1" customWidth="1"/>
    <col min="4" max="4" width="16.453125" customWidth="1"/>
    <col min="5" max="5" width="11.54296875" bestFit="1" customWidth="1"/>
    <col min="6" max="6" width="48.81640625" style="179" bestFit="1" customWidth="1"/>
    <col min="7" max="7" width="12.26953125" bestFit="1" customWidth="1"/>
    <col min="8" max="8" width="14.26953125" style="27" bestFit="1" customWidth="1"/>
    <col min="9" max="9" width="10.26953125" bestFit="1" customWidth="1"/>
    <col min="10" max="10" width="12.26953125" bestFit="1" customWidth="1"/>
    <col min="11" max="11" width="11.54296875" bestFit="1" customWidth="1"/>
    <col min="12" max="13" width="12.26953125" bestFit="1" customWidth="1"/>
    <col min="14" max="14" width="14.81640625" customWidth="1"/>
    <col min="15" max="15" width="16" customWidth="1"/>
    <col min="16" max="16" width="13" customWidth="1"/>
    <col min="17" max="17" width="14.453125" customWidth="1"/>
    <col min="18" max="18" width="8.453125" bestFit="1" customWidth="1"/>
    <col min="19" max="19" width="11.1796875" customWidth="1"/>
    <col min="20" max="20" width="11" customWidth="1"/>
    <col min="23" max="23" width="28.7265625" bestFit="1" customWidth="1"/>
    <col min="24" max="24" width="11.1796875" customWidth="1"/>
    <col min="25" max="25" width="13" customWidth="1"/>
    <col min="26" max="26" width="84.1796875" bestFit="1" customWidth="1"/>
  </cols>
  <sheetData>
    <row r="1" spans="1:26" ht="15" thickBot="1" x14ac:dyDescent="0.4"/>
    <row r="2" spans="1:26" ht="15.5" x14ac:dyDescent="0.35">
      <c r="G2" s="213" t="s">
        <v>221</v>
      </c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5"/>
    </row>
    <row r="3" spans="1:26" ht="43.5" x14ac:dyDescent="0.35">
      <c r="G3" s="67"/>
      <c r="H3" s="79" t="s">
        <v>18</v>
      </c>
      <c r="I3" s="80" t="s">
        <v>17</v>
      </c>
      <c r="J3" s="81" t="s">
        <v>35</v>
      </c>
      <c r="K3" s="82" t="s">
        <v>16</v>
      </c>
      <c r="L3" s="230" t="s">
        <v>132</v>
      </c>
      <c r="M3" s="230" t="s">
        <v>183</v>
      </c>
      <c r="N3" s="230" t="s">
        <v>191</v>
      </c>
      <c r="O3" s="81" t="s">
        <v>34</v>
      </c>
      <c r="P3" s="82" t="s">
        <v>19</v>
      </c>
      <c r="Q3" s="80" t="s">
        <v>21</v>
      </c>
      <c r="R3" s="80" t="s">
        <v>23</v>
      </c>
      <c r="S3" s="80" t="s">
        <v>22</v>
      </c>
      <c r="T3" s="84" t="s">
        <v>95</v>
      </c>
    </row>
    <row r="4" spans="1:26" ht="15" thickBot="1" x14ac:dyDescent="0.4">
      <c r="G4" s="153"/>
      <c r="H4" s="73" t="s">
        <v>24</v>
      </c>
      <c r="I4" s="74" t="s">
        <v>25</v>
      </c>
      <c r="J4" s="75" t="s">
        <v>30</v>
      </c>
      <c r="K4" s="76" t="s">
        <v>26</v>
      </c>
      <c r="L4" s="77" t="s">
        <v>31</v>
      </c>
      <c r="M4" s="77" t="s">
        <v>32</v>
      </c>
      <c r="N4" s="77" t="s">
        <v>28</v>
      </c>
      <c r="O4" s="75" t="s">
        <v>75</v>
      </c>
      <c r="P4" s="76" t="s">
        <v>76</v>
      </c>
      <c r="Q4" s="74" t="s">
        <v>29</v>
      </c>
      <c r="R4" s="74" t="s">
        <v>77</v>
      </c>
      <c r="S4" s="74" t="s">
        <v>78</v>
      </c>
      <c r="T4" s="78"/>
    </row>
    <row r="5" spans="1:26" ht="102" thickBot="1" x14ac:dyDescent="0.4">
      <c r="C5" s="216" t="s">
        <v>202</v>
      </c>
      <c r="D5" s="217"/>
      <c r="E5" s="218"/>
      <c r="F5" s="185" t="s">
        <v>179</v>
      </c>
      <c r="G5" s="70"/>
      <c r="H5" s="113" t="s">
        <v>220</v>
      </c>
      <c r="I5" s="114" t="s">
        <v>106</v>
      </c>
      <c r="J5" s="115" t="s">
        <v>107</v>
      </c>
      <c r="K5" s="116" t="s">
        <v>108</v>
      </c>
      <c r="L5" s="117" t="s">
        <v>109</v>
      </c>
      <c r="M5" s="117" t="s">
        <v>110</v>
      </c>
      <c r="N5" s="117" t="s">
        <v>197</v>
      </c>
      <c r="O5" s="115" t="s">
        <v>192</v>
      </c>
      <c r="P5" s="116" t="s">
        <v>111</v>
      </c>
      <c r="Q5" s="114" t="s">
        <v>112</v>
      </c>
      <c r="R5" s="142" t="s">
        <v>113</v>
      </c>
      <c r="S5" s="114" t="s">
        <v>114</v>
      </c>
      <c r="T5" s="235" t="s">
        <v>226</v>
      </c>
    </row>
    <row r="6" spans="1:26" x14ac:dyDescent="0.35">
      <c r="A6" t="s">
        <v>200</v>
      </c>
      <c r="B6" s="207">
        <v>2024</v>
      </c>
      <c r="C6" s="143"/>
      <c r="D6" s="175" t="s">
        <v>198</v>
      </c>
      <c r="E6" s="143"/>
      <c r="F6" s="181"/>
      <c r="G6" s="107" t="s">
        <v>0</v>
      </c>
      <c r="H6" s="62"/>
      <c r="I6" s="234"/>
      <c r="J6" s="63"/>
      <c r="K6" s="65"/>
      <c r="L6" s="233"/>
      <c r="M6" s="233"/>
      <c r="N6" s="233"/>
      <c r="O6" s="44"/>
      <c r="P6" s="65"/>
      <c r="Q6" s="233"/>
      <c r="R6" s="233"/>
      <c r="S6" s="112"/>
      <c r="T6" s="154"/>
      <c r="U6" s="11"/>
    </row>
    <row r="7" spans="1:26" x14ac:dyDescent="0.35">
      <c r="B7" s="208"/>
      <c r="C7" s="107" t="s">
        <v>89</v>
      </c>
      <c r="D7" s="124">
        <f>'Input Data'!N57</f>
        <v>35587910</v>
      </c>
      <c r="F7" s="179" t="s">
        <v>151</v>
      </c>
      <c r="G7" s="107" t="s">
        <v>1</v>
      </c>
      <c r="H7" s="62"/>
      <c r="I7" s="234"/>
      <c r="J7" s="63"/>
      <c r="K7" s="65"/>
      <c r="L7" s="233"/>
      <c r="M7" s="233"/>
      <c r="N7" s="233"/>
      <c r="O7" s="44"/>
      <c r="P7" s="65"/>
      <c r="Q7" s="233"/>
      <c r="R7" s="233"/>
      <c r="S7" s="112"/>
      <c r="T7" s="154"/>
      <c r="U7" s="11"/>
      <c r="V7" s="210" t="s">
        <v>104</v>
      </c>
      <c r="W7" s="18"/>
      <c r="X7" s="18"/>
      <c r="Y7" s="19"/>
    </row>
    <row r="8" spans="1:26" x14ac:dyDescent="0.35">
      <c r="B8" s="208"/>
      <c r="C8" s="107" t="s">
        <v>126</v>
      </c>
      <c r="D8" s="123">
        <f>'Input Data'!C66/1000</f>
        <v>7.2859999999999994E-2</v>
      </c>
      <c r="F8" s="179" t="s">
        <v>97</v>
      </c>
      <c r="G8" s="107" t="s">
        <v>2</v>
      </c>
      <c r="H8" s="62"/>
      <c r="I8" s="234"/>
      <c r="J8" s="63"/>
      <c r="K8" s="65"/>
      <c r="L8" s="233"/>
      <c r="M8" s="233"/>
      <c r="N8" s="233"/>
      <c r="O8" s="44"/>
      <c r="P8" s="65"/>
      <c r="Q8" s="233"/>
      <c r="R8" s="233"/>
      <c r="S8" s="112"/>
      <c r="T8" s="154"/>
      <c r="U8" s="11"/>
      <c r="V8" s="211"/>
      <c r="W8" t="s">
        <v>105</v>
      </c>
      <c r="Y8" s="44">
        <f>K18</f>
        <v>0</v>
      </c>
      <c r="Z8" t="s">
        <v>115</v>
      </c>
    </row>
    <row r="9" spans="1:26" x14ac:dyDescent="0.35">
      <c r="B9" s="208"/>
      <c r="C9" s="107" t="s">
        <v>148</v>
      </c>
      <c r="D9" s="4">
        <f>D7*D8</f>
        <v>2592935.1225999999</v>
      </c>
      <c r="G9" s="107" t="s">
        <v>3</v>
      </c>
      <c r="H9" s="62"/>
      <c r="I9" s="234"/>
      <c r="J9" s="63"/>
      <c r="K9" s="65"/>
      <c r="L9" s="233"/>
      <c r="M9" s="233"/>
      <c r="N9" s="233"/>
      <c r="O9" s="44"/>
      <c r="P9" s="65"/>
      <c r="Q9" s="233"/>
      <c r="R9" s="233"/>
      <c r="S9" s="112"/>
      <c r="T9" s="154"/>
      <c r="U9" s="11"/>
      <c r="V9" s="211"/>
      <c r="W9" t="s">
        <v>103</v>
      </c>
      <c r="Y9" s="44">
        <f>L18</f>
        <v>0</v>
      </c>
      <c r="Z9" t="s">
        <v>33</v>
      </c>
    </row>
    <row r="10" spans="1:26" x14ac:dyDescent="0.35">
      <c r="B10" s="208"/>
      <c r="C10" s="107" t="s">
        <v>149</v>
      </c>
      <c r="E10" s="4">
        <f>D9/2</f>
        <v>1296467.5612999999</v>
      </c>
      <c r="F10" s="179" t="s">
        <v>168</v>
      </c>
      <c r="G10" s="107" t="s">
        <v>4</v>
      </c>
      <c r="H10" s="62"/>
      <c r="I10" s="234"/>
      <c r="J10" s="63"/>
      <c r="K10" s="65"/>
      <c r="L10" s="233"/>
      <c r="M10" s="233"/>
      <c r="N10" s="233"/>
      <c r="O10" s="44"/>
      <c r="P10" s="65"/>
      <c r="Q10" s="233"/>
      <c r="R10" s="233"/>
      <c r="S10" s="112"/>
      <c r="T10" s="154"/>
      <c r="U10" s="11"/>
      <c r="V10" s="211"/>
      <c r="W10" t="s">
        <v>72</v>
      </c>
      <c r="X10" s="11">
        <f>M18</f>
        <v>0</v>
      </c>
      <c r="Y10" s="21"/>
      <c r="Z10" t="s">
        <v>116</v>
      </c>
    </row>
    <row r="11" spans="1:26" x14ac:dyDescent="0.35">
      <c r="B11" s="208"/>
      <c r="C11" s="107" t="s">
        <v>129</v>
      </c>
      <c r="E11" s="4"/>
      <c r="F11" s="179" t="s">
        <v>180</v>
      </c>
      <c r="G11" s="107" t="s">
        <v>5</v>
      </c>
      <c r="H11" s="62"/>
      <c r="I11" s="234"/>
      <c r="J11" s="63"/>
      <c r="K11" s="65"/>
      <c r="L11" s="233"/>
      <c r="M11" s="233"/>
      <c r="N11" s="233"/>
      <c r="O11" s="44"/>
      <c r="P11" s="65"/>
      <c r="Q11" s="233"/>
      <c r="R11" s="233"/>
      <c r="S11" s="112"/>
      <c r="T11" s="154"/>
      <c r="U11" s="11"/>
      <c r="V11" s="211"/>
      <c r="W11" t="s">
        <v>73</v>
      </c>
      <c r="X11" s="40"/>
      <c r="Y11" s="21"/>
      <c r="Z11" t="s">
        <v>223</v>
      </c>
    </row>
    <row r="12" spans="1:26" x14ac:dyDescent="0.35">
      <c r="B12" s="208"/>
      <c r="C12" s="107" t="s">
        <v>130</v>
      </c>
      <c r="E12" s="4"/>
      <c r="F12" s="179" t="str">
        <f>F11</f>
        <v>(No variance in this year)</v>
      </c>
      <c r="G12" s="107" t="s">
        <v>6</v>
      </c>
      <c r="H12" s="120"/>
      <c r="I12" s="234">
        <f>E17</f>
        <v>-7.0000000000000001E-3</v>
      </c>
      <c r="J12" s="63">
        <f t="shared" ref="J12:J17" si="0">H12*I12</f>
        <v>0</v>
      </c>
      <c r="K12" s="119"/>
      <c r="L12" s="233">
        <f t="shared" ref="L12:L17" si="1">-K12/2</f>
        <v>0</v>
      </c>
      <c r="M12" s="233">
        <f t="shared" ref="M12:M17" si="2">-K12/2</f>
        <v>0</v>
      </c>
      <c r="N12" s="233"/>
      <c r="O12" s="44">
        <f t="shared" ref="O12:O17" si="3">M12+N12</f>
        <v>0</v>
      </c>
      <c r="P12" s="65">
        <f t="shared" ref="P12:P17" si="4">O12-J12</f>
        <v>0</v>
      </c>
      <c r="Q12" s="233">
        <f t="shared" ref="Q12:Q17" si="5">P12+Q11</f>
        <v>0</v>
      </c>
      <c r="R12" s="122">
        <f>'Input Data'!$C$90/100/12</f>
        <v>4.5750000000000001E-3</v>
      </c>
      <c r="S12" s="112"/>
      <c r="T12" s="154"/>
      <c r="U12" s="11"/>
      <c r="V12" s="211"/>
      <c r="W12" t="s">
        <v>34</v>
      </c>
      <c r="Y12" s="44">
        <f>X11+X10</f>
        <v>0</v>
      </c>
      <c r="Z12" t="s">
        <v>117</v>
      </c>
    </row>
    <row r="13" spans="1:26" x14ac:dyDescent="0.35">
      <c r="B13" s="208"/>
      <c r="C13" s="67" t="s">
        <v>203</v>
      </c>
      <c r="E13" s="26">
        <f>SUM(E10:E12)</f>
        <v>1296467.5612999999</v>
      </c>
      <c r="G13" s="107" t="s">
        <v>7</v>
      </c>
      <c r="H13" s="120"/>
      <c r="I13" s="234">
        <f>I12</f>
        <v>-7.0000000000000001E-3</v>
      </c>
      <c r="J13" s="63">
        <f t="shared" si="0"/>
        <v>0</v>
      </c>
      <c r="K13" s="119"/>
      <c r="L13" s="233">
        <f t="shared" si="1"/>
        <v>0</v>
      </c>
      <c r="M13" s="233">
        <f t="shared" si="2"/>
        <v>0</v>
      </c>
      <c r="N13" s="233"/>
      <c r="O13" s="44">
        <f t="shared" si="3"/>
        <v>0</v>
      </c>
      <c r="P13" s="65">
        <f t="shared" si="4"/>
        <v>0</v>
      </c>
      <c r="Q13" s="233">
        <f t="shared" si="5"/>
        <v>0</v>
      </c>
      <c r="R13" s="122">
        <f>'Input Data'!$C$90/100/12</f>
        <v>4.5750000000000001E-3</v>
      </c>
      <c r="S13" s="112">
        <f>Q12*R13</f>
        <v>0</v>
      </c>
      <c r="T13" s="154"/>
      <c r="U13" s="11"/>
      <c r="V13" s="211"/>
      <c r="W13" t="s">
        <v>35</v>
      </c>
      <c r="Y13" s="72">
        <f>J18</f>
        <v>0</v>
      </c>
      <c r="Z13" t="s">
        <v>204</v>
      </c>
    </row>
    <row r="14" spans="1:26" x14ac:dyDescent="0.35">
      <c r="B14" s="208"/>
      <c r="C14" s="107"/>
      <c r="G14" s="107" t="s">
        <v>8</v>
      </c>
      <c r="H14" s="120"/>
      <c r="I14" s="234">
        <f>I13</f>
        <v>-7.0000000000000001E-3</v>
      </c>
      <c r="J14" s="63">
        <f t="shared" si="0"/>
        <v>0</v>
      </c>
      <c r="K14" s="119"/>
      <c r="L14" s="233">
        <f t="shared" si="1"/>
        <v>0</v>
      </c>
      <c r="M14" s="233">
        <f t="shared" si="2"/>
        <v>0</v>
      </c>
      <c r="N14" s="233"/>
      <c r="O14" s="44">
        <f t="shared" si="3"/>
        <v>0</v>
      </c>
      <c r="P14" s="65">
        <f t="shared" si="4"/>
        <v>0</v>
      </c>
      <c r="Q14" s="233">
        <f t="shared" si="5"/>
        <v>0</v>
      </c>
      <c r="R14" s="122">
        <f>'Input Data'!$C$90/100/12</f>
        <v>4.5750000000000001E-3</v>
      </c>
      <c r="S14" s="112">
        <f t="shared" ref="S14:S17" si="6">Q13*R14</f>
        <v>0</v>
      </c>
      <c r="T14" s="154"/>
      <c r="U14" s="11"/>
      <c r="V14" s="211"/>
      <c r="W14" t="s">
        <v>19</v>
      </c>
      <c r="Y14" s="85">
        <f>Y12-Y13</f>
        <v>0</v>
      </c>
      <c r="Z14" t="s">
        <v>133</v>
      </c>
    </row>
    <row r="15" spans="1:26" x14ac:dyDescent="0.35">
      <c r="B15" s="208"/>
      <c r="C15" s="107" t="s">
        <v>128</v>
      </c>
      <c r="D15" s="124">
        <f>'Input Data'!H39</f>
        <v>185090366</v>
      </c>
      <c r="F15" s="179" t="s">
        <v>98</v>
      </c>
      <c r="G15" s="107" t="s">
        <v>9</v>
      </c>
      <c r="H15" s="120"/>
      <c r="I15" s="234">
        <f>I14</f>
        <v>-7.0000000000000001E-3</v>
      </c>
      <c r="J15" s="63">
        <f t="shared" si="0"/>
        <v>0</v>
      </c>
      <c r="K15" s="119"/>
      <c r="L15" s="233">
        <f t="shared" si="1"/>
        <v>0</v>
      </c>
      <c r="M15" s="233">
        <f t="shared" si="2"/>
        <v>0</v>
      </c>
      <c r="N15" s="233"/>
      <c r="O15" s="44">
        <f t="shared" si="3"/>
        <v>0</v>
      </c>
      <c r="P15" s="65">
        <f t="shared" si="4"/>
        <v>0</v>
      </c>
      <c r="Q15" s="233">
        <f t="shared" si="5"/>
        <v>0</v>
      </c>
      <c r="R15" s="122">
        <f>'Input Data'!$C$90/100/12</f>
        <v>4.5750000000000001E-3</v>
      </c>
      <c r="S15" s="112">
        <f t="shared" si="6"/>
        <v>0</v>
      </c>
      <c r="T15" s="154"/>
      <c r="U15" s="11"/>
      <c r="V15" s="211"/>
      <c r="W15" t="s">
        <v>36</v>
      </c>
      <c r="Y15" s="44">
        <f>S18+T31</f>
        <v>0</v>
      </c>
      <c r="Z15" t="s">
        <v>134</v>
      </c>
    </row>
    <row r="16" spans="1:26" x14ac:dyDescent="0.35">
      <c r="B16" s="208"/>
      <c r="C16" s="67"/>
      <c r="D16" s="4"/>
      <c r="G16" s="107" t="s">
        <v>10</v>
      </c>
      <c r="H16" s="120"/>
      <c r="I16" s="234">
        <f>I15</f>
        <v>-7.0000000000000001E-3</v>
      </c>
      <c r="J16" s="63">
        <f t="shared" si="0"/>
        <v>0</v>
      </c>
      <c r="K16" s="119"/>
      <c r="L16" s="233">
        <f t="shared" si="1"/>
        <v>0</v>
      </c>
      <c r="M16" s="233">
        <f t="shared" si="2"/>
        <v>0</v>
      </c>
      <c r="N16" s="233"/>
      <c r="O16" s="44">
        <f t="shared" si="3"/>
        <v>0</v>
      </c>
      <c r="P16" s="65">
        <f t="shared" si="4"/>
        <v>0</v>
      </c>
      <c r="Q16" s="233">
        <f t="shared" si="5"/>
        <v>0</v>
      </c>
      <c r="R16" s="122">
        <f>'Input Data'!$C$90/100/12</f>
        <v>4.5750000000000001E-3</v>
      </c>
      <c r="S16" s="112">
        <f t="shared" si="6"/>
        <v>0</v>
      </c>
      <c r="T16" s="154"/>
      <c r="U16" s="11"/>
      <c r="V16" s="212"/>
      <c r="W16" s="23"/>
      <c r="X16" s="23"/>
      <c r="Y16" s="24"/>
    </row>
    <row r="17" spans="2:26" x14ac:dyDescent="0.35">
      <c r="B17" s="208"/>
      <c r="C17" s="67" t="s">
        <v>206</v>
      </c>
      <c r="E17" s="188">
        <f>ROUND(-E13/D15,4)</f>
        <v>-7.0000000000000001E-3</v>
      </c>
      <c r="G17" s="107" t="s">
        <v>11</v>
      </c>
      <c r="H17" s="120"/>
      <c r="I17" s="234">
        <f>I16</f>
        <v>-7.0000000000000001E-3</v>
      </c>
      <c r="J17" s="63">
        <f t="shared" si="0"/>
        <v>0</v>
      </c>
      <c r="K17" s="119"/>
      <c r="L17" s="233">
        <f t="shared" si="1"/>
        <v>0</v>
      </c>
      <c r="M17" s="233">
        <f t="shared" si="2"/>
        <v>0</v>
      </c>
      <c r="N17" s="233"/>
      <c r="O17" s="44">
        <f t="shared" si="3"/>
        <v>0</v>
      </c>
      <c r="P17" s="65">
        <f t="shared" si="4"/>
        <v>0</v>
      </c>
      <c r="Q17" s="233">
        <f t="shared" si="5"/>
        <v>0</v>
      </c>
      <c r="R17" s="122">
        <f>'Input Data'!$C$90/100/12</f>
        <v>4.5750000000000001E-3</v>
      </c>
      <c r="S17" s="112">
        <f t="shared" si="6"/>
        <v>0</v>
      </c>
      <c r="T17" s="154"/>
      <c r="U17" s="11"/>
    </row>
    <row r="18" spans="2:26" ht="15" thickBot="1" x14ac:dyDescent="0.4">
      <c r="B18" s="209"/>
      <c r="G18" s="125" t="s">
        <v>14</v>
      </c>
      <c r="H18" s="126">
        <f>SUM(H6:H17)</f>
        <v>0</v>
      </c>
      <c r="I18" s="127"/>
      <c r="J18" s="128">
        <f t="shared" ref="J18:P18" si="7">SUM(J6:J17)</f>
        <v>0</v>
      </c>
      <c r="K18" s="129">
        <f t="shared" si="7"/>
        <v>0</v>
      </c>
      <c r="L18" s="130">
        <f t="shared" si="7"/>
        <v>0</v>
      </c>
      <c r="M18" s="130">
        <f t="shared" si="7"/>
        <v>0</v>
      </c>
      <c r="N18" s="130">
        <f t="shared" si="7"/>
        <v>0</v>
      </c>
      <c r="O18" s="128">
        <f t="shared" si="7"/>
        <v>0</v>
      </c>
      <c r="P18" s="129">
        <f t="shared" si="7"/>
        <v>0</v>
      </c>
      <c r="Q18" s="131"/>
      <c r="R18" s="127"/>
      <c r="S18" s="130">
        <f>SUM(S6:S17)</f>
        <v>0</v>
      </c>
      <c r="T18" s="183"/>
      <c r="U18" s="12"/>
    </row>
    <row r="19" spans="2:26" x14ac:dyDescent="0.35">
      <c r="B19" s="207">
        <v>2025</v>
      </c>
      <c r="C19" s="143"/>
      <c r="D19" s="143"/>
      <c r="E19" s="143"/>
      <c r="F19" s="181"/>
      <c r="G19" s="107" t="s">
        <v>0</v>
      </c>
      <c r="H19" s="120"/>
      <c r="I19" s="234">
        <f>I17</f>
        <v>-7.0000000000000001E-3</v>
      </c>
      <c r="J19" s="63">
        <f t="shared" ref="J19:J30" si="8">H19*I19</f>
        <v>0</v>
      </c>
      <c r="K19" s="119"/>
      <c r="L19" s="233">
        <f t="shared" ref="L19:L30" si="9">-K19/2</f>
        <v>0</v>
      </c>
      <c r="M19" s="233">
        <f t="shared" ref="M19:M30" si="10">-K19/2</f>
        <v>0</v>
      </c>
      <c r="N19" s="233"/>
      <c r="O19" s="44">
        <f t="shared" ref="O19:O30" si="11">M19+N19</f>
        <v>0</v>
      </c>
      <c r="P19" s="65">
        <f t="shared" ref="P19:P30" si="12">O19-J19</f>
        <v>0</v>
      </c>
      <c r="Q19" s="233">
        <f>P19</f>
        <v>0</v>
      </c>
      <c r="R19" s="122">
        <f>'Input Data'!$C$90/100/12</f>
        <v>4.5750000000000001E-3</v>
      </c>
      <c r="S19" s="112"/>
      <c r="T19" s="154">
        <f>$P$18*R19</f>
        <v>0</v>
      </c>
      <c r="U19" s="11"/>
    </row>
    <row r="20" spans="2:26" x14ac:dyDescent="0.35">
      <c r="B20" s="208"/>
      <c r="C20" s="107" t="s">
        <v>89</v>
      </c>
      <c r="D20" s="124">
        <f>'Input Data'!M84</f>
        <v>0</v>
      </c>
      <c r="F20" s="179" t="s">
        <v>152</v>
      </c>
      <c r="G20" s="107" t="s">
        <v>1</v>
      </c>
      <c r="H20" s="120"/>
      <c r="I20" s="234">
        <f>I19</f>
        <v>-7.0000000000000001E-3</v>
      </c>
      <c r="J20" s="63">
        <f t="shared" si="8"/>
        <v>0</v>
      </c>
      <c r="K20" s="119"/>
      <c r="L20" s="233">
        <f t="shared" si="9"/>
        <v>0</v>
      </c>
      <c r="M20" s="233">
        <f t="shared" si="10"/>
        <v>0</v>
      </c>
      <c r="N20" s="233"/>
      <c r="O20" s="44">
        <f>M20+N20</f>
        <v>0</v>
      </c>
      <c r="P20" s="65">
        <f t="shared" si="12"/>
        <v>0</v>
      </c>
      <c r="Q20" s="233">
        <f t="shared" ref="Q20:Q30" si="13">P20+Q19</f>
        <v>0</v>
      </c>
      <c r="R20" s="122">
        <f>'Input Data'!$C$90/100/12</f>
        <v>4.5750000000000001E-3</v>
      </c>
      <c r="S20" s="112">
        <f>Q19*R20</f>
        <v>0</v>
      </c>
      <c r="T20" s="154">
        <f t="shared" ref="T20:T30" si="14">$P$18*R20</f>
        <v>0</v>
      </c>
      <c r="U20" s="11"/>
      <c r="V20" s="210" t="s">
        <v>104</v>
      </c>
      <c r="W20" s="18"/>
      <c r="X20" s="18"/>
      <c r="Y20" s="19"/>
    </row>
    <row r="21" spans="2:26" x14ac:dyDescent="0.35">
      <c r="B21" s="208"/>
      <c r="C21" s="107" t="s">
        <v>126</v>
      </c>
      <c r="D21" s="123">
        <f>'Input Data'!C92/1000</f>
        <v>0</v>
      </c>
      <c r="F21" s="179" t="s">
        <v>99</v>
      </c>
      <c r="G21" s="107" t="s">
        <v>2</v>
      </c>
      <c r="H21" s="120"/>
      <c r="I21" s="234">
        <f>I20</f>
        <v>-7.0000000000000001E-3</v>
      </c>
      <c r="J21" s="63">
        <f t="shared" si="8"/>
        <v>0</v>
      </c>
      <c r="K21" s="119"/>
      <c r="L21" s="233">
        <f t="shared" si="9"/>
        <v>0</v>
      </c>
      <c r="M21" s="233">
        <f t="shared" si="10"/>
        <v>0</v>
      </c>
      <c r="N21" s="233"/>
      <c r="O21" s="44">
        <f t="shared" si="11"/>
        <v>0</v>
      </c>
      <c r="P21" s="65">
        <f t="shared" si="12"/>
        <v>0</v>
      </c>
      <c r="Q21" s="233">
        <f t="shared" si="13"/>
        <v>0</v>
      </c>
      <c r="R21" s="122">
        <f>'Input Data'!$C$90/100/12</f>
        <v>4.5750000000000001E-3</v>
      </c>
      <c r="S21" s="112">
        <f t="shared" ref="S21:S30" si="15">Q20*R21</f>
        <v>0</v>
      </c>
      <c r="T21" s="154">
        <f t="shared" si="14"/>
        <v>0</v>
      </c>
      <c r="U21" s="11"/>
      <c r="V21" s="211"/>
      <c r="W21" t="s">
        <v>16</v>
      </c>
      <c r="Y21" s="44">
        <f>K31</f>
        <v>0</v>
      </c>
      <c r="Z21" t="s">
        <v>115</v>
      </c>
    </row>
    <row r="22" spans="2:26" x14ac:dyDescent="0.35">
      <c r="B22" s="208"/>
      <c r="C22" s="107" t="s">
        <v>148</v>
      </c>
      <c r="D22" s="4">
        <f>D20*D21</f>
        <v>0</v>
      </c>
      <c r="G22" s="107" t="s">
        <v>3</v>
      </c>
      <c r="H22" s="120"/>
      <c r="I22" s="234">
        <f>I21</f>
        <v>-7.0000000000000001E-3</v>
      </c>
      <c r="J22" s="63">
        <f t="shared" si="8"/>
        <v>0</v>
      </c>
      <c r="K22" s="119"/>
      <c r="L22" s="233">
        <f t="shared" si="9"/>
        <v>0</v>
      </c>
      <c r="M22" s="233">
        <f t="shared" si="10"/>
        <v>0</v>
      </c>
      <c r="N22" s="233"/>
      <c r="O22" s="44">
        <f t="shared" si="11"/>
        <v>0</v>
      </c>
      <c r="P22" s="65">
        <f t="shared" si="12"/>
        <v>0</v>
      </c>
      <c r="Q22" s="233">
        <f t="shared" si="13"/>
        <v>0</v>
      </c>
      <c r="R22" s="122">
        <f>'Input Data'!$C$90/100/12</f>
        <v>4.5750000000000001E-3</v>
      </c>
      <c r="S22" s="112">
        <f t="shared" si="15"/>
        <v>0</v>
      </c>
      <c r="T22" s="154">
        <f t="shared" si="14"/>
        <v>0</v>
      </c>
      <c r="U22" s="11"/>
      <c r="V22" s="211"/>
      <c r="W22" t="s">
        <v>103</v>
      </c>
      <c r="Y22" s="44">
        <f>L31</f>
        <v>0</v>
      </c>
      <c r="Z22" t="s">
        <v>33</v>
      </c>
    </row>
    <row r="23" spans="2:26" x14ac:dyDescent="0.35">
      <c r="B23" s="208"/>
      <c r="C23" s="107" t="s">
        <v>149</v>
      </c>
      <c r="E23" s="4">
        <f>D22/2</f>
        <v>0</v>
      </c>
      <c r="F23" s="179" t="s">
        <v>168</v>
      </c>
      <c r="G23" s="107" t="s">
        <v>4</v>
      </c>
      <c r="H23" s="120"/>
      <c r="I23" s="234">
        <f>E30</f>
        <v>-2.5000000000000001E-3</v>
      </c>
      <c r="J23" s="63">
        <f t="shared" si="8"/>
        <v>0</v>
      </c>
      <c r="K23" s="119"/>
      <c r="L23" s="233">
        <f t="shared" si="9"/>
        <v>0</v>
      </c>
      <c r="M23" s="233">
        <f t="shared" si="10"/>
        <v>0</v>
      </c>
      <c r="N23" s="233">
        <f t="shared" ref="N23:N35" si="16">($E$26)/12</f>
        <v>37887.968875656254</v>
      </c>
      <c r="O23" s="44">
        <f t="shared" si="11"/>
        <v>37887.968875656254</v>
      </c>
      <c r="P23" s="65">
        <f t="shared" si="12"/>
        <v>37887.968875656254</v>
      </c>
      <c r="Q23" s="233">
        <f t="shared" si="13"/>
        <v>37887.968875656254</v>
      </c>
      <c r="R23" s="122">
        <f>'Input Data'!$C$90/100/12</f>
        <v>4.5750000000000001E-3</v>
      </c>
      <c r="S23" s="112">
        <f t="shared" si="15"/>
        <v>0</v>
      </c>
      <c r="T23" s="154">
        <f t="shared" si="14"/>
        <v>0</v>
      </c>
      <c r="U23" s="11"/>
      <c r="V23" s="211"/>
      <c r="W23" t="s">
        <v>72</v>
      </c>
      <c r="X23" s="11">
        <f>M31</f>
        <v>0</v>
      </c>
      <c r="Y23" s="21"/>
      <c r="Z23" t="s">
        <v>116</v>
      </c>
    </row>
    <row r="24" spans="2:26" x14ac:dyDescent="0.35">
      <c r="B24" s="208"/>
      <c r="C24" s="107" t="s">
        <v>129</v>
      </c>
      <c r="E24" s="4"/>
      <c r="F24" s="179" t="s">
        <v>180</v>
      </c>
      <c r="G24" s="107" t="s">
        <v>5</v>
      </c>
      <c r="H24" s="120"/>
      <c r="I24" s="234">
        <f>I23</f>
        <v>-2.5000000000000001E-3</v>
      </c>
      <c r="J24" s="63">
        <f t="shared" si="8"/>
        <v>0</v>
      </c>
      <c r="K24" s="119"/>
      <c r="L24" s="233">
        <f t="shared" si="9"/>
        <v>0</v>
      </c>
      <c r="M24" s="233">
        <f t="shared" si="10"/>
        <v>0</v>
      </c>
      <c r="N24" s="233">
        <f t="shared" si="16"/>
        <v>37887.968875656254</v>
      </c>
      <c r="O24" s="44">
        <f t="shared" si="11"/>
        <v>37887.968875656254</v>
      </c>
      <c r="P24" s="65">
        <f t="shared" si="12"/>
        <v>37887.968875656254</v>
      </c>
      <c r="Q24" s="233">
        <f t="shared" si="13"/>
        <v>75775.937751312507</v>
      </c>
      <c r="R24" s="122">
        <f>'Input Data'!$C$90/100/12</f>
        <v>4.5750000000000001E-3</v>
      </c>
      <c r="S24" s="112">
        <f t="shared" si="15"/>
        <v>173.33745760612737</v>
      </c>
      <c r="T24" s="154">
        <f t="shared" si="14"/>
        <v>0</v>
      </c>
      <c r="U24" s="11"/>
      <c r="V24" s="211"/>
      <c r="W24" t="s">
        <v>73</v>
      </c>
      <c r="X24" s="40"/>
      <c r="Y24" s="21"/>
      <c r="Z24" t="s">
        <v>223</v>
      </c>
    </row>
    <row r="25" spans="2:26" x14ac:dyDescent="0.35">
      <c r="B25" s="208"/>
      <c r="C25" s="107" t="s">
        <v>130</v>
      </c>
      <c r="E25" s="4"/>
      <c r="F25" s="179" t="str">
        <f>F24</f>
        <v>(No variance in this year)</v>
      </c>
      <c r="G25" s="107" t="s">
        <v>6</v>
      </c>
      <c r="H25" s="120"/>
      <c r="I25" s="234">
        <f t="shared" ref="I25:I30" si="17">I24</f>
        <v>-2.5000000000000001E-3</v>
      </c>
      <c r="J25" s="63">
        <f t="shared" si="8"/>
        <v>0</v>
      </c>
      <c r="K25" s="119"/>
      <c r="L25" s="233">
        <f t="shared" si="9"/>
        <v>0</v>
      </c>
      <c r="M25" s="233">
        <f t="shared" si="10"/>
        <v>0</v>
      </c>
      <c r="N25" s="233">
        <f t="shared" si="16"/>
        <v>37887.968875656254</v>
      </c>
      <c r="O25" s="44">
        <f t="shared" si="11"/>
        <v>37887.968875656254</v>
      </c>
      <c r="P25" s="65">
        <f t="shared" si="12"/>
        <v>37887.968875656254</v>
      </c>
      <c r="Q25" s="233">
        <f t="shared" si="13"/>
        <v>113663.90662696876</v>
      </c>
      <c r="R25" s="122">
        <f>'Input Data'!$C$90/100/12</f>
        <v>4.5750000000000001E-3</v>
      </c>
      <c r="S25" s="112">
        <f t="shared" si="15"/>
        <v>346.67491521225475</v>
      </c>
      <c r="T25" s="154">
        <f t="shared" si="14"/>
        <v>0</v>
      </c>
      <c r="U25" s="11"/>
      <c r="V25" s="211"/>
      <c r="W25" t="s">
        <v>34</v>
      </c>
      <c r="Y25" s="44">
        <f>X24+X23</f>
        <v>0</v>
      </c>
      <c r="Z25" t="s">
        <v>117</v>
      </c>
    </row>
    <row r="26" spans="2:26" x14ac:dyDescent="0.35">
      <c r="B26" s="208"/>
      <c r="C26" s="152" t="s">
        <v>145</v>
      </c>
      <c r="E26" s="4">
        <f>-'2023-24 Overcollection'!P9-'2023-24 Overcollection'!P10</f>
        <v>454655.62650787504</v>
      </c>
      <c r="F26" s="179" t="s">
        <v>181</v>
      </c>
      <c r="G26" s="107" t="s">
        <v>7</v>
      </c>
      <c r="H26" s="120"/>
      <c r="I26" s="234">
        <f t="shared" si="17"/>
        <v>-2.5000000000000001E-3</v>
      </c>
      <c r="J26" s="63">
        <f t="shared" si="8"/>
        <v>0</v>
      </c>
      <c r="K26" s="119"/>
      <c r="L26" s="233">
        <f t="shared" si="9"/>
        <v>0</v>
      </c>
      <c r="M26" s="233">
        <f t="shared" si="10"/>
        <v>0</v>
      </c>
      <c r="N26" s="233">
        <f t="shared" si="16"/>
        <v>37887.968875656254</v>
      </c>
      <c r="O26" s="44">
        <f t="shared" si="11"/>
        <v>37887.968875656254</v>
      </c>
      <c r="P26" s="65">
        <f t="shared" si="12"/>
        <v>37887.968875656254</v>
      </c>
      <c r="Q26" s="233">
        <f t="shared" si="13"/>
        <v>151551.87550262501</v>
      </c>
      <c r="R26" s="122">
        <f>'Input Data'!$C$90/100/12</f>
        <v>4.5750000000000001E-3</v>
      </c>
      <c r="S26" s="112">
        <f>Q25*R26</f>
        <v>520.01237281838212</v>
      </c>
      <c r="T26" s="154">
        <f t="shared" si="14"/>
        <v>0</v>
      </c>
      <c r="U26" s="11"/>
      <c r="V26" s="211"/>
      <c r="W26" t="s">
        <v>35</v>
      </c>
      <c r="Y26" s="72">
        <f>J31</f>
        <v>0</v>
      </c>
      <c r="Z26" t="s">
        <v>204</v>
      </c>
    </row>
    <row r="27" spans="2:26" x14ac:dyDescent="0.35">
      <c r="B27" s="208"/>
      <c r="C27" s="67" t="s">
        <v>203</v>
      </c>
      <c r="E27" s="26">
        <f>SUM(E23:E26)</f>
        <v>454655.62650787504</v>
      </c>
      <c r="G27" s="107" t="s">
        <v>8</v>
      </c>
      <c r="H27" s="120"/>
      <c r="I27" s="234">
        <f t="shared" si="17"/>
        <v>-2.5000000000000001E-3</v>
      </c>
      <c r="J27" s="63">
        <f t="shared" si="8"/>
        <v>0</v>
      </c>
      <c r="K27" s="119"/>
      <c r="L27" s="233">
        <f t="shared" si="9"/>
        <v>0</v>
      </c>
      <c r="M27" s="233">
        <f t="shared" si="10"/>
        <v>0</v>
      </c>
      <c r="N27" s="233">
        <f t="shared" si="16"/>
        <v>37887.968875656254</v>
      </c>
      <c r="O27" s="44">
        <f t="shared" si="11"/>
        <v>37887.968875656254</v>
      </c>
      <c r="P27" s="65">
        <f t="shared" si="12"/>
        <v>37887.968875656254</v>
      </c>
      <c r="Q27" s="233">
        <f t="shared" si="13"/>
        <v>189439.84437828127</v>
      </c>
      <c r="R27" s="122">
        <f>'Input Data'!$C$90/100/12</f>
        <v>4.5750000000000001E-3</v>
      </c>
      <c r="S27" s="112">
        <f t="shared" si="15"/>
        <v>693.34983042450949</v>
      </c>
      <c r="T27" s="154">
        <f t="shared" si="14"/>
        <v>0</v>
      </c>
      <c r="U27" s="11"/>
      <c r="V27" s="211"/>
      <c r="W27" t="s">
        <v>19</v>
      </c>
      <c r="Y27" s="85">
        <f>Y25-Y26</f>
        <v>0</v>
      </c>
      <c r="Z27" t="s">
        <v>135</v>
      </c>
    </row>
    <row r="28" spans="2:26" x14ac:dyDescent="0.35">
      <c r="B28" s="208"/>
      <c r="C28" s="20"/>
      <c r="G28" s="107" t="s">
        <v>9</v>
      </c>
      <c r="H28" s="120"/>
      <c r="I28" s="234">
        <f t="shared" si="17"/>
        <v>-2.5000000000000001E-3</v>
      </c>
      <c r="J28" s="63">
        <f t="shared" si="8"/>
        <v>0</v>
      </c>
      <c r="K28" s="119"/>
      <c r="L28" s="233">
        <f t="shared" si="9"/>
        <v>0</v>
      </c>
      <c r="M28" s="233">
        <f t="shared" si="10"/>
        <v>0</v>
      </c>
      <c r="N28" s="233">
        <f t="shared" si="16"/>
        <v>37887.968875656254</v>
      </c>
      <c r="O28" s="44">
        <f t="shared" si="11"/>
        <v>37887.968875656254</v>
      </c>
      <c r="P28" s="65">
        <f t="shared" si="12"/>
        <v>37887.968875656254</v>
      </c>
      <c r="Q28" s="233">
        <f t="shared" si="13"/>
        <v>227327.81325393752</v>
      </c>
      <c r="R28" s="122">
        <f>'Input Data'!$C$90/100/12</f>
        <v>4.5750000000000001E-3</v>
      </c>
      <c r="S28" s="112">
        <f t="shared" si="15"/>
        <v>866.68728803063686</v>
      </c>
      <c r="T28" s="154">
        <f t="shared" si="14"/>
        <v>0</v>
      </c>
      <c r="U28" s="11"/>
      <c r="V28" s="211"/>
      <c r="W28" t="s">
        <v>36</v>
      </c>
      <c r="Y28" s="44">
        <f>S31+T44</f>
        <v>21493.844743159796</v>
      </c>
      <c r="Z28" t="s">
        <v>136</v>
      </c>
    </row>
    <row r="29" spans="2:26" x14ac:dyDescent="0.35">
      <c r="B29" s="208"/>
      <c r="C29" s="20" t="s">
        <v>128</v>
      </c>
      <c r="D29" s="124">
        <f>D15</f>
        <v>185090366</v>
      </c>
      <c r="F29" s="179" t="s">
        <v>100</v>
      </c>
      <c r="G29" s="107" t="s">
        <v>10</v>
      </c>
      <c r="H29" s="120"/>
      <c r="I29" s="234">
        <f t="shared" si="17"/>
        <v>-2.5000000000000001E-3</v>
      </c>
      <c r="J29" s="63">
        <f t="shared" si="8"/>
        <v>0</v>
      </c>
      <c r="K29" s="119"/>
      <c r="L29" s="233">
        <f t="shared" si="9"/>
        <v>0</v>
      </c>
      <c r="M29" s="233">
        <f t="shared" si="10"/>
        <v>0</v>
      </c>
      <c r="N29" s="233">
        <f t="shared" si="16"/>
        <v>37887.968875656254</v>
      </c>
      <c r="O29" s="44">
        <f t="shared" si="11"/>
        <v>37887.968875656254</v>
      </c>
      <c r="P29" s="65">
        <f t="shared" si="12"/>
        <v>37887.968875656254</v>
      </c>
      <c r="Q29" s="233">
        <f t="shared" si="13"/>
        <v>265215.78212959378</v>
      </c>
      <c r="R29" s="122">
        <f>'Input Data'!$C$90/100/12</f>
        <v>4.5750000000000001E-3</v>
      </c>
      <c r="S29" s="112">
        <f t="shared" si="15"/>
        <v>1040.0247456367642</v>
      </c>
      <c r="T29" s="154">
        <f t="shared" si="14"/>
        <v>0</v>
      </c>
      <c r="U29" s="11"/>
      <c r="V29" s="212"/>
      <c r="W29" s="23"/>
      <c r="X29" s="23"/>
      <c r="Y29" s="24"/>
    </row>
    <row r="30" spans="2:26" x14ac:dyDescent="0.35">
      <c r="B30" s="208"/>
      <c r="C30" s="67" t="s">
        <v>207</v>
      </c>
      <c r="E30" s="25">
        <f>ROUND(-E27/D29,4)</f>
        <v>-2.5000000000000001E-3</v>
      </c>
      <c r="G30" s="107" t="s">
        <v>11</v>
      </c>
      <c r="H30" s="120"/>
      <c r="I30" s="234">
        <f t="shared" si="17"/>
        <v>-2.5000000000000001E-3</v>
      </c>
      <c r="J30" s="63">
        <f t="shared" si="8"/>
        <v>0</v>
      </c>
      <c r="K30" s="119"/>
      <c r="L30" s="233">
        <f t="shared" si="9"/>
        <v>0</v>
      </c>
      <c r="M30" s="233">
        <f t="shared" si="10"/>
        <v>0</v>
      </c>
      <c r="N30" s="233">
        <f t="shared" si="16"/>
        <v>37887.968875656254</v>
      </c>
      <c r="O30" s="44">
        <f t="shared" si="11"/>
        <v>37887.968875656254</v>
      </c>
      <c r="P30" s="65">
        <f t="shared" si="12"/>
        <v>37887.968875656254</v>
      </c>
      <c r="Q30" s="233">
        <f t="shared" si="13"/>
        <v>303103.75100525003</v>
      </c>
      <c r="R30" s="122">
        <f>'Input Data'!$C$90/100/12</f>
        <v>4.5750000000000001E-3</v>
      </c>
      <c r="S30" s="112">
        <f t="shared" si="15"/>
        <v>1213.3622032428916</v>
      </c>
      <c r="T30" s="154">
        <f t="shared" si="14"/>
        <v>0</v>
      </c>
      <c r="U30" s="11"/>
    </row>
    <row r="31" spans="2:26" ht="15" thickBot="1" x14ac:dyDescent="0.4">
      <c r="B31" s="209"/>
      <c r="C31" s="145"/>
      <c r="D31" s="145"/>
      <c r="E31" s="145"/>
      <c r="F31" s="180"/>
      <c r="G31" s="125" t="s">
        <v>14</v>
      </c>
      <c r="H31" s="126">
        <f>SUM(H19:H30)</f>
        <v>0</v>
      </c>
      <c r="I31" s="127"/>
      <c r="J31" s="128">
        <f t="shared" ref="J31:P31" si="18">SUM(J19:J30)</f>
        <v>0</v>
      </c>
      <c r="K31" s="129">
        <f t="shared" si="18"/>
        <v>0</v>
      </c>
      <c r="L31" s="130">
        <f t="shared" si="18"/>
        <v>0</v>
      </c>
      <c r="M31" s="130">
        <f t="shared" si="18"/>
        <v>0</v>
      </c>
      <c r="N31" s="130">
        <f t="shared" si="18"/>
        <v>303103.75100525003</v>
      </c>
      <c r="O31" s="128">
        <f t="shared" si="18"/>
        <v>303103.75100525003</v>
      </c>
      <c r="P31" s="129">
        <f t="shared" si="18"/>
        <v>303103.75100525003</v>
      </c>
      <c r="Q31" s="131"/>
      <c r="R31" s="127"/>
      <c r="S31" s="130">
        <f>SUM(S19:S30)</f>
        <v>4853.4488129715664</v>
      </c>
      <c r="T31" s="183">
        <f>SUM(T19:T30)</f>
        <v>0</v>
      </c>
      <c r="U31" s="12"/>
    </row>
    <row r="32" spans="2:26" x14ac:dyDescent="0.35">
      <c r="B32" s="207">
        <v>2026</v>
      </c>
      <c r="C32" s="143"/>
      <c r="D32" s="143"/>
      <c r="E32" s="143"/>
      <c r="F32" s="181"/>
      <c r="G32" s="107" t="s">
        <v>0</v>
      </c>
      <c r="H32" s="120"/>
      <c r="I32" s="234">
        <f>I30</f>
        <v>-2.5000000000000001E-3</v>
      </c>
      <c r="J32" s="63">
        <f t="shared" ref="J32:J43" si="19">H32*I32</f>
        <v>0</v>
      </c>
      <c r="K32" s="119"/>
      <c r="L32" s="233">
        <f t="shared" ref="L32:L56" si="20">-K32/2</f>
        <v>0</v>
      </c>
      <c r="M32" s="233">
        <f t="shared" ref="M32:M43" si="21">-K32/2</f>
        <v>0</v>
      </c>
      <c r="N32" s="233">
        <f t="shared" si="16"/>
        <v>37887.968875656254</v>
      </c>
      <c r="O32" s="44">
        <f t="shared" ref="O32:O43" si="22">M32+N32</f>
        <v>37887.968875656254</v>
      </c>
      <c r="P32" s="65">
        <f t="shared" ref="P32:P43" si="23">O32-J32</f>
        <v>37887.968875656254</v>
      </c>
      <c r="Q32" s="233">
        <f>P32</f>
        <v>37887.968875656254</v>
      </c>
      <c r="R32" s="122">
        <f>'Input Data'!$C$90/100/12</f>
        <v>4.5750000000000001E-3</v>
      </c>
      <c r="S32" s="112"/>
      <c r="T32" s="154">
        <f>$P$31*R32</f>
        <v>1386.699660849019</v>
      </c>
      <c r="U32" s="11"/>
    </row>
    <row r="33" spans="2:26" x14ac:dyDescent="0.35">
      <c r="B33" s="208"/>
      <c r="C33" s="107" t="s">
        <v>89</v>
      </c>
      <c r="D33" s="124">
        <f>'Input Data'!M97</f>
        <v>0</v>
      </c>
      <c r="F33" s="179" t="s">
        <v>153</v>
      </c>
      <c r="G33" s="107" t="s">
        <v>1</v>
      </c>
      <c r="H33" s="120"/>
      <c r="I33" s="234">
        <f>I32</f>
        <v>-2.5000000000000001E-3</v>
      </c>
      <c r="J33" s="63">
        <f t="shared" si="19"/>
        <v>0</v>
      </c>
      <c r="K33" s="119"/>
      <c r="L33" s="233">
        <f t="shared" si="20"/>
        <v>0</v>
      </c>
      <c r="M33" s="233">
        <f t="shared" si="21"/>
        <v>0</v>
      </c>
      <c r="N33" s="233">
        <f t="shared" si="16"/>
        <v>37887.968875656254</v>
      </c>
      <c r="O33" s="44">
        <f t="shared" si="22"/>
        <v>37887.968875656254</v>
      </c>
      <c r="P33" s="65">
        <f t="shared" si="23"/>
        <v>37887.968875656254</v>
      </c>
      <c r="Q33" s="233">
        <f t="shared" ref="Q33:Q43" si="24">P33+Q32</f>
        <v>75775.937751312507</v>
      </c>
      <c r="R33" s="122">
        <f>'Input Data'!$C$90/100/12</f>
        <v>4.5750000000000001E-3</v>
      </c>
      <c r="S33" s="112">
        <f>Q32*R33</f>
        <v>173.33745760612737</v>
      </c>
      <c r="T33" s="154">
        <f t="shared" ref="T33:T43" si="25">$P$31*R33</f>
        <v>1386.699660849019</v>
      </c>
      <c r="U33" s="11"/>
      <c r="V33" s="210" t="s">
        <v>104</v>
      </c>
      <c r="W33" s="18"/>
      <c r="X33" s="18"/>
      <c r="Y33" s="19"/>
    </row>
    <row r="34" spans="2:26" x14ac:dyDescent="0.35">
      <c r="B34" s="208"/>
      <c r="C34" s="107" t="s">
        <v>126</v>
      </c>
      <c r="D34" s="123">
        <f>'Input Data'!C105/1000</f>
        <v>0</v>
      </c>
      <c r="F34" s="179" t="s">
        <v>99</v>
      </c>
      <c r="G34" s="107" t="s">
        <v>2</v>
      </c>
      <c r="H34" s="120"/>
      <c r="I34" s="234">
        <f>I33</f>
        <v>-2.5000000000000001E-3</v>
      </c>
      <c r="J34" s="63">
        <f t="shared" si="19"/>
        <v>0</v>
      </c>
      <c r="K34" s="119"/>
      <c r="L34" s="233">
        <f t="shared" si="20"/>
        <v>0</v>
      </c>
      <c r="M34" s="233">
        <f t="shared" si="21"/>
        <v>0</v>
      </c>
      <c r="N34" s="233">
        <f t="shared" si="16"/>
        <v>37887.968875656254</v>
      </c>
      <c r="O34" s="44">
        <f t="shared" si="22"/>
        <v>37887.968875656254</v>
      </c>
      <c r="P34" s="65">
        <f t="shared" si="23"/>
        <v>37887.968875656254</v>
      </c>
      <c r="Q34" s="233">
        <f t="shared" si="24"/>
        <v>113663.90662696876</v>
      </c>
      <c r="R34" s="122">
        <f>'Input Data'!$C$90/100/12</f>
        <v>4.5750000000000001E-3</v>
      </c>
      <c r="S34" s="112">
        <f t="shared" ref="S34:S43" si="26">Q33*R34</f>
        <v>346.67491521225475</v>
      </c>
      <c r="T34" s="154">
        <f t="shared" si="25"/>
        <v>1386.699660849019</v>
      </c>
      <c r="U34" s="11"/>
      <c r="V34" s="211"/>
      <c r="W34" t="s">
        <v>16</v>
      </c>
      <c r="Y34" s="44">
        <f>K44</f>
        <v>0</v>
      </c>
      <c r="Z34" t="s">
        <v>115</v>
      </c>
    </row>
    <row r="35" spans="2:26" x14ac:dyDescent="0.35">
      <c r="B35" s="208"/>
      <c r="C35" s="107" t="s">
        <v>148</v>
      </c>
      <c r="D35" s="4">
        <f>D33*D34</f>
        <v>0</v>
      </c>
      <c r="G35" s="107" t="s">
        <v>3</v>
      </c>
      <c r="H35" s="120"/>
      <c r="I35" s="234">
        <f>I34</f>
        <v>-2.5000000000000001E-3</v>
      </c>
      <c r="J35" s="63">
        <f t="shared" si="19"/>
        <v>0</v>
      </c>
      <c r="K35" s="119"/>
      <c r="L35" s="233">
        <f t="shared" si="20"/>
        <v>0</v>
      </c>
      <c r="M35" s="233">
        <f t="shared" si="21"/>
        <v>0</v>
      </c>
      <c r="N35" s="233">
        <f t="shared" si="16"/>
        <v>37887.968875656254</v>
      </c>
      <c r="O35" s="44">
        <f t="shared" si="22"/>
        <v>37887.968875656254</v>
      </c>
      <c r="P35" s="65">
        <f t="shared" si="23"/>
        <v>37887.968875656254</v>
      </c>
      <c r="Q35" s="233">
        <f t="shared" si="24"/>
        <v>151551.87550262501</v>
      </c>
      <c r="R35" s="122">
        <f>'Input Data'!$C$90/100/12</f>
        <v>4.5750000000000001E-3</v>
      </c>
      <c r="S35" s="112">
        <f t="shared" si="26"/>
        <v>520.01237281838212</v>
      </c>
      <c r="T35" s="154">
        <f t="shared" si="25"/>
        <v>1386.699660849019</v>
      </c>
      <c r="U35" s="11"/>
      <c r="V35" s="211"/>
      <c r="W35" t="s">
        <v>103</v>
      </c>
      <c r="Y35" s="44">
        <f>L44</f>
        <v>0</v>
      </c>
      <c r="Z35" t="s">
        <v>33</v>
      </c>
    </row>
    <row r="36" spans="2:26" x14ac:dyDescent="0.35">
      <c r="B36" s="208"/>
      <c r="C36" s="107" t="s">
        <v>149</v>
      </c>
      <c r="E36" s="4">
        <f>D35/2</f>
        <v>0</v>
      </c>
      <c r="F36" s="179" t="s">
        <v>168</v>
      </c>
      <c r="G36" s="107" t="s">
        <v>4</v>
      </c>
      <c r="H36" s="120"/>
      <c r="I36" s="234">
        <f>E43</f>
        <v>0</v>
      </c>
      <c r="J36" s="63">
        <f t="shared" si="19"/>
        <v>0</v>
      </c>
      <c r="K36" s="119"/>
      <c r="L36" s="233">
        <f t="shared" si="20"/>
        <v>0</v>
      </c>
      <c r="M36" s="233">
        <f t="shared" si="21"/>
        <v>0</v>
      </c>
      <c r="N36" s="233">
        <f>($E$39)/12</f>
        <v>0</v>
      </c>
      <c r="O36" s="44">
        <f t="shared" si="22"/>
        <v>0</v>
      </c>
      <c r="P36" s="65">
        <f t="shared" si="23"/>
        <v>0</v>
      </c>
      <c r="Q36" s="233">
        <f t="shared" si="24"/>
        <v>151551.87550262501</v>
      </c>
      <c r="R36" s="122">
        <f>'Input Data'!$C$90/100/12</f>
        <v>4.5750000000000001E-3</v>
      </c>
      <c r="S36" s="112">
        <f t="shared" si="26"/>
        <v>693.34983042450949</v>
      </c>
      <c r="T36" s="154">
        <f t="shared" si="25"/>
        <v>1386.699660849019</v>
      </c>
      <c r="U36" s="11"/>
      <c r="V36" s="211"/>
      <c r="W36" t="s">
        <v>72</v>
      </c>
      <c r="X36" s="11">
        <f>M44</f>
        <v>0</v>
      </c>
      <c r="Y36" s="21"/>
      <c r="Z36" t="s">
        <v>116</v>
      </c>
    </row>
    <row r="37" spans="2:26" x14ac:dyDescent="0.35">
      <c r="B37" s="208"/>
      <c r="C37" s="107" t="s">
        <v>129</v>
      </c>
      <c r="E37" s="4">
        <f>Y14</f>
        <v>0</v>
      </c>
      <c r="F37" s="179" t="s">
        <v>193</v>
      </c>
      <c r="G37" s="107" t="s">
        <v>5</v>
      </c>
      <c r="H37" s="120"/>
      <c r="I37" s="234">
        <f>I36</f>
        <v>0</v>
      </c>
      <c r="J37" s="63">
        <f t="shared" si="19"/>
        <v>0</v>
      </c>
      <c r="K37" s="119"/>
      <c r="L37" s="233">
        <f t="shared" si="20"/>
        <v>0</v>
      </c>
      <c r="M37" s="233">
        <f t="shared" si="21"/>
        <v>0</v>
      </c>
      <c r="N37" s="233">
        <f>($E$39)/12</f>
        <v>0</v>
      </c>
      <c r="O37" s="44">
        <f t="shared" si="22"/>
        <v>0</v>
      </c>
      <c r="P37" s="65">
        <f t="shared" si="23"/>
        <v>0</v>
      </c>
      <c r="Q37" s="233">
        <f t="shared" si="24"/>
        <v>151551.87550262501</v>
      </c>
      <c r="R37" s="122">
        <f>'Input Data'!$C$90/100/12</f>
        <v>4.5750000000000001E-3</v>
      </c>
      <c r="S37" s="112">
        <f t="shared" si="26"/>
        <v>693.34983042450949</v>
      </c>
      <c r="T37" s="154">
        <f t="shared" si="25"/>
        <v>1386.699660849019</v>
      </c>
      <c r="U37" s="11"/>
      <c r="V37" s="211"/>
      <c r="W37" t="s">
        <v>73</v>
      </c>
      <c r="X37" s="40">
        <f>Y14+Y15</f>
        <v>0</v>
      </c>
      <c r="Y37" s="21"/>
      <c r="Z37" t="s">
        <v>223</v>
      </c>
    </row>
    <row r="38" spans="2:26" x14ac:dyDescent="0.35">
      <c r="B38" s="208"/>
      <c r="C38" s="107" t="s">
        <v>130</v>
      </c>
      <c r="E38" s="4">
        <f>Y15</f>
        <v>0</v>
      </c>
      <c r="F38" s="179" t="s">
        <v>194</v>
      </c>
      <c r="G38" s="107" t="s">
        <v>6</v>
      </c>
      <c r="H38" s="120"/>
      <c r="I38" s="234">
        <f t="shared" ref="I38:I43" si="27">I37</f>
        <v>0</v>
      </c>
      <c r="J38" s="63">
        <f t="shared" si="19"/>
        <v>0</v>
      </c>
      <c r="K38" s="119"/>
      <c r="L38" s="233">
        <f t="shared" si="20"/>
        <v>0</v>
      </c>
      <c r="M38" s="233">
        <f t="shared" si="21"/>
        <v>0</v>
      </c>
      <c r="N38" s="233">
        <f>($E$39)/12</f>
        <v>0</v>
      </c>
      <c r="O38" s="44">
        <f t="shared" si="22"/>
        <v>0</v>
      </c>
      <c r="P38" s="65">
        <f t="shared" si="23"/>
        <v>0</v>
      </c>
      <c r="Q38" s="233">
        <f t="shared" si="24"/>
        <v>151551.87550262501</v>
      </c>
      <c r="R38" s="122">
        <f>'Input Data'!$C$90/100/12</f>
        <v>4.5750000000000001E-3</v>
      </c>
      <c r="S38" s="112">
        <f t="shared" si="26"/>
        <v>693.34983042450949</v>
      </c>
      <c r="T38" s="154">
        <f t="shared" si="25"/>
        <v>1386.699660849019</v>
      </c>
      <c r="U38" s="11"/>
      <c r="V38" s="211"/>
      <c r="W38" t="s">
        <v>34</v>
      </c>
      <c r="Y38" s="44">
        <f>X37+X36</f>
        <v>0</v>
      </c>
      <c r="Z38" t="s">
        <v>117</v>
      </c>
    </row>
    <row r="39" spans="2:26" x14ac:dyDescent="0.35">
      <c r="B39" s="208"/>
      <c r="C39" s="152" t="s">
        <v>146</v>
      </c>
      <c r="E39" s="4">
        <f>-'2023-24 Overcollection'!P22-'2023-24 Overcollection'!P23</f>
        <v>0</v>
      </c>
      <c r="F39" s="179" t="s">
        <v>182</v>
      </c>
      <c r="G39" s="107" t="s">
        <v>7</v>
      </c>
      <c r="H39" s="120"/>
      <c r="I39" s="234">
        <f t="shared" si="27"/>
        <v>0</v>
      </c>
      <c r="J39" s="63">
        <f t="shared" si="19"/>
        <v>0</v>
      </c>
      <c r="K39" s="119"/>
      <c r="L39" s="233">
        <f t="shared" si="20"/>
        <v>0</v>
      </c>
      <c r="M39" s="233">
        <f t="shared" si="21"/>
        <v>0</v>
      </c>
      <c r="N39" s="233">
        <f>($E$39)/12</f>
        <v>0</v>
      </c>
      <c r="O39" s="44">
        <f t="shared" si="22"/>
        <v>0</v>
      </c>
      <c r="P39" s="65">
        <f t="shared" si="23"/>
        <v>0</v>
      </c>
      <c r="Q39" s="233">
        <f t="shared" si="24"/>
        <v>151551.87550262501</v>
      </c>
      <c r="R39" s="122">
        <f>'Input Data'!$C$90/100/12</f>
        <v>4.5750000000000001E-3</v>
      </c>
      <c r="S39" s="112">
        <f t="shared" si="26"/>
        <v>693.34983042450949</v>
      </c>
      <c r="T39" s="154">
        <f t="shared" si="25"/>
        <v>1386.699660849019</v>
      </c>
      <c r="U39" s="11"/>
      <c r="V39" s="211"/>
      <c r="W39" t="s">
        <v>35</v>
      </c>
      <c r="Y39" s="72">
        <f>J44</f>
        <v>0</v>
      </c>
      <c r="Z39" t="s">
        <v>204</v>
      </c>
    </row>
    <row r="40" spans="2:26" x14ac:dyDescent="0.35">
      <c r="B40" s="208"/>
      <c r="C40" s="67" t="s">
        <v>203</v>
      </c>
      <c r="E40" s="26">
        <f>SUM(E36:E39)</f>
        <v>0</v>
      </c>
      <c r="G40" s="107" t="s">
        <v>8</v>
      </c>
      <c r="H40" s="120"/>
      <c r="I40" s="234">
        <f t="shared" si="27"/>
        <v>0</v>
      </c>
      <c r="J40" s="63">
        <f t="shared" si="19"/>
        <v>0</v>
      </c>
      <c r="K40" s="119"/>
      <c r="L40" s="233">
        <f t="shared" si="20"/>
        <v>0</v>
      </c>
      <c r="M40" s="233">
        <f t="shared" si="21"/>
        <v>0</v>
      </c>
      <c r="N40" s="233">
        <f t="shared" ref="N40:N48" si="28">($E$39)/12</f>
        <v>0</v>
      </c>
      <c r="O40" s="44">
        <f t="shared" si="22"/>
        <v>0</v>
      </c>
      <c r="P40" s="65">
        <f t="shared" si="23"/>
        <v>0</v>
      </c>
      <c r="Q40" s="233">
        <f t="shared" si="24"/>
        <v>151551.87550262501</v>
      </c>
      <c r="R40" s="122">
        <f>'Input Data'!$C$90/100/12</f>
        <v>4.5750000000000001E-3</v>
      </c>
      <c r="S40" s="112">
        <f t="shared" si="26"/>
        <v>693.34983042450949</v>
      </c>
      <c r="T40" s="154">
        <f t="shared" si="25"/>
        <v>1386.699660849019</v>
      </c>
      <c r="U40" s="11"/>
      <c r="V40" s="211"/>
      <c r="W40" t="s">
        <v>19</v>
      </c>
      <c r="Y40" s="85">
        <f>Y38-Y39</f>
        <v>0</v>
      </c>
      <c r="Z40" t="s">
        <v>187</v>
      </c>
    </row>
    <row r="41" spans="2:26" x14ac:dyDescent="0.35">
      <c r="B41" s="208"/>
      <c r="C41" s="20"/>
      <c r="G41" s="107" t="s">
        <v>9</v>
      </c>
      <c r="H41" s="120"/>
      <c r="I41" s="234">
        <f t="shared" si="27"/>
        <v>0</v>
      </c>
      <c r="J41" s="63">
        <f t="shared" si="19"/>
        <v>0</v>
      </c>
      <c r="K41" s="119"/>
      <c r="L41" s="233">
        <f t="shared" si="20"/>
        <v>0</v>
      </c>
      <c r="M41" s="233">
        <f t="shared" si="21"/>
        <v>0</v>
      </c>
      <c r="N41" s="233">
        <f t="shared" si="28"/>
        <v>0</v>
      </c>
      <c r="O41" s="44">
        <f t="shared" si="22"/>
        <v>0</v>
      </c>
      <c r="P41" s="65">
        <f t="shared" si="23"/>
        <v>0</v>
      </c>
      <c r="Q41" s="233">
        <f t="shared" si="24"/>
        <v>151551.87550262501</v>
      </c>
      <c r="R41" s="122">
        <f>'Input Data'!$C$90/100/12</f>
        <v>4.5750000000000001E-3</v>
      </c>
      <c r="S41" s="112">
        <f t="shared" si="26"/>
        <v>693.34983042450949</v>
      </c>
      <c r="T41" s="154">
        <f t="shared" si="25"/>
        <v>1386.699660849019</v>
      </c>
      <c r="U41" s="11"/>
      <c r="V41" s="211"/>
      <c r="W41" t="s">
        <v>36</v>
      </c>
      <c r="Y41" s="44">
        <f>S44+T57</f>
        <v>14907.021354126955</v>
      </c>
      <c r="Z41" t="s">
        <v>188</v>
      </c>
    </row>
    <row r="42" spans="2:26" x14ac:dyDescent="0.35">
      <c r="B42" s="208"/>
      <c r="C42" s="20" t="s">
        <v>128</v>
      </c>
      <c r="D42" s="124">
        <f>D29</f>
        <v>185090366</v>
      </c>
      <c r="F42" s="179" t="s">
        <v>154</v>
      </c>
      <c r="G42" s="107" t="s">
        <v>10</v>
      </c>
      <c r="H42" s="120"/>
      <c r="I42" s="234">
        <f t="shared" si="27"/>
        <v>0</v>
      </c>
      <c r="J42" s="63">
        <f t="shared" si="19"/>
        <v>0</v>
      </c>
      <c r="K42" s="119"/>
      <c r="L42" s="233">
        <f t="shared" si="20"/>
        <v>0</v>
      </c>
      <c r="M42" s="233">
        <f t="shared" si="21"/>
        <v>0</v>
      </c>
      <c r="N42" s="233">
        <f t="shared" si="28"/>
        <v>0</v>
      </c>
      <c r="O42" s="44">
        <f t="shared" si="22"/>
        <v>0</v>
      </c>
      <c r="P42" s="65">
        <f t="shared" si="23"/>
        <v>0</v>
      </c>
      <c r="Q42" s="233">
        <f t="shared" si="24"/>
        <v>151551.87550262501</v>
      </c>
      <c r="R42" s="122">
        <f>'Input Data'!$C$90/100/12</f>
        <v>4.5750000000000001E-3</v>
      </c>
      <c r="S42" s="112">
        <f t="shared" si="26"/>
        <v>693.34983042450949</v>
      </c>
      <c r="T42" s="154">
        <f t="shared" si="25"/>
        <v>1386.699660849019</v>
      </c>
      <c r="U42" s="11"/>
      <c r="V42" s="212"/>
      <c r="W42" s="23"/>
      <c r="X42" s="23"/>
      <c r="Y42" s="24"/>
    </row>
    <row r="43" spans="2:26" x14ac:dyDescent="0.35">
      <c r="B43" s="208"/>
      <c r="C43" s="67" t="s">
        <v>208</v>
      </c>
      <c r="E43" s="25">
        <f>ROUND(-E40/D42,4)</f>
        <v>0</v>
      </c>
      <c r="G43" s="107" t="s">
        <v>11</v>
      </c>
      <c r="H43" s="120"/>
      <c r="I43" s="234">
        <f t="shared" si="27"/>
        <v>0</v>
      </c>
      <c r="J43" s="63">
        <f t="shared" si="19"/>
        <v>0</v>
      </c>
      <c r="K43" s="119"/>
      <c r="L43" s="233">
        <f t="shared" si="20"/>
        <v>0</v>
      </c>
      <c r="M43" s="233">
        <f t="shared" si="21"/>
        <v>0</v>
      </c>
      <c r="N43" s="233">
        <f t="shared" si="28"/>
        <v>0</v>
      </c>
      <c r="O43" s="44">
        <f t="shared" si="22"/>
        <v>0</v>
      </c>
      <c r="P43" s="65">
        <f t="shared" si="23"/>
        <v>0</v>
      </c>
      <c r="Q43" s="233">
        <f t="shared" si="24"/>
        <v>151551.87550262501</v>
      </c>
      <c r="R43" s="122">
        <f>'Input Data'!$C$90/100/12</f>
        <v>4.5750000000000001E-3</v>
      </c>
      <c r="S43" s="112">
        <f t="shared" si="26"/>
        <v>693.34983042450949</v>
      </c>
      <c r="T43" s="154">
        <f t="shared" si="25"/>
        <v>1386.699660849019</v>
      </c>
      <c r="U43" s="11"/>
    </row>
    <row r="44" spans="2:26" ht="15" thickBot="1" x14ac:dyDescent="0.4">
      <c r="B44" s="209"/>
      <c r="C44" s="145"/>
      <c r="D44" s="145"/>
      <c r="E44" s="145"/>
      <c r="F44" s="180"/>
      <c r="G44" s="125" t="s">
        <v>14</v>
      </c>
      <c r="H44" s="126">
        <f>SUM(H32:H43)</f>
        <v>0</v>
      </c>
      <c r="I44" s="127"/>
      <c r="J44" s="128">
        <f t="shared" ref="J44:P44" si="29">SUM(J32:J43)</f>
        <v>0</v>
      </c>
      <c r="K44" s="129">
        <f t="shared" si="29"/>
        <v>0</v>
      </c>
      <c r="L44" s="130">
        <f t="shared" si="29"/>
        <v>0</v>
      </c>
      <c r="M44" s="130">
        <f t="shared" si="29"/>
        <v>0</v>
      </c>
      <c r="N44" s="130">
        <f t="shared" si="29"/>
        <v>151551.87550262501</v>
      </c>
      <c r="O44" s="128">
        <f t="shared" si="29"/>
        <v>151551.87550262501</v>
      </c>
      <c r="P44" s="129">
        <f t="shared" si="29"/>
        <v>151551.87550262501</v>
      </c>
      <c r="Q44" s="131"/>
      <c r="R44" s="127"/>
      <c r="S44" s="130">
        <f>SUM(S32:S43)</f>
        <v>6586.8233890328402</v>
      </c>
      <c r="T44" s="183">
        <f>SUM(T32:T43)</f>
        <v>16640.395930188228</v>
      </c>
      <c r="U44" s="12"/>
    </row>
    <row r="45" spans="2:26" x14ac:dyDescent="0.35">
      <c r="B45" s="207">
        <v>2027</v>
      </c>
      <c r="C45" s="143"/>
      <c r="D45" s="143"/>
      <c r="E45" s="143"/>
      <c r="F45" s="181"/>
      <c r="G45" s="107" t="s">
        <v>0</v>
      </c>
      <c r="H45" s="120"/>
      <c r="I45" s="234">
        <f>I43</f>
        <v>0</v>
      </c>
      <c r="J45" s="63">
        <f t="shared" ref="J45:J56" si="30">H45*I45</f>
        <v>0</v>
      </c>
      <c r="K45" s="119"/>
      <c r="L45" s="233">
        <f t="shared" si="20"/>
        <v>0</v>
      </c>
      <c r="M45" s="233">
        <f t="shared" ref="M45:M56" si="31">-K45/2</f>
        <v>0</v>
      </c>
      <c r="N45" s="233">
        <f>($E$39)/12</f>
        <v>0</v>
      </c>
      <c r="O45" s="44">
        <f t="shared" ref="O45:O56" si="32">M45+N45</f>
        <v>0</v>
      </c>
      <c r="P45" s="65">
        <f t="shared" ref="P45:P56" si="33">O45-J45</f>
        <v>0</v>
      </c>
      <c r="Q45" s="233">
        <f>P45</f>
        <v>0</v>
      </c>
      <c r="R45" s="122">
        <f>'Input Data'!$C$90/100/12</f>
        <v>4.5750000000000001E-3</v>
      </c>
      <c r="S45" s="112"/>
      <c r="T45" s="154">
        <f>$P$44*R45</f>
        <v>693.34983042450949</v>
      </c>
      <c r="U45" s="11"/>
    </row>
    <row r="46" spans="2:26" x14ac:dyDescent="0.35">
      <c r="B46" s="208"/>
      <c r="C46" s="107" t="s">
        <v>89</v>
      </c>
      <c r="D46" s="124">
        <f>'Input Data'!N97</f>
        <v>0</v>
      </c>
      <c r="F46" s="179" t="s">
        <v>184</v>
      </c>
      <c r="G46" s="107" t="s">
        <v>1</v>
      </c>
      <c r="H46" s="120"/>
      <c r="I46" s="234">
        <f>I45</f>
        <v>0</v>
      </c>
      <c r="J46" s="63">
        <f t="shared" si="30"/>
        <v>0</v>
      </c>
      <c r="K46" s="119"/>
      <c r="L46" s="233">
        <f t="shared" si="20"/>
        <v>0</v>
      </c>
      <c r="M46" s="233">
        <f t="shared" si="31"/>
        <v>0</v>
      </c>
      <c r="N46" s="233">
        <f t="shared" si="28"/>
        <v>0</v>
      </c>
      <c r="O46" s="44">
        <f t="shared" si="32"/>
        <v>0</v>
      </c>
      <c r="P46" s="65">
        <f t="shared" si="33"/>
        <v>0</v>
      </c>
      <c r="Q46" s="233">
        <f t="shared" ref="Q46:Q56" si="34">P46+Q45</f>
        <v>0</v>
      </c>
      <c r="R46" s="122">
        <f>'Input Data'!$C$90/100/12</f>
        <v>4.5750000000000001E-3</v>
      </c>
      <c r="S46" s="112">
        <f>Q45*R46</f>
        <v>0</v>
      </c>
      <c r="T46" s="154">
        <f t="shared" ref="T46:T56" si="35">$P$44*R46</f>
        <v>693.34983042450949</v>
      </c>
      <c r="U46" s="11"/>
      <c r="V46" s="210" t="s">
        <v>104</v>
      </c>
      <c r="W46" s="18"/>
      <c r="X46" s="18"/>
      <c r="Y46" s="19"/>
    </row>
    <row r="47" spans="2:26" x14ac:dyDescent="0.35">
      <c r="B47" s="208"/>
      <c r="C47" s="107" t="s">
        <v>126</v>
      </c>
      <c r="D47" s="123">
        <f>'Input Data'!C116/1000</f>
        <v>0</v>
      </c>
      <c r="F47" s="179" t="s">
        <v>185</v>
      </c>
      <c r="G47" s="107" t="s">
        <v>2</v>
      </c>
      <c r="H47" s="120"/>
      <c r="I47" s="234">
        <f>I46</f>
        <v>0</v>
      </c>
      <c r="J47" s="63">
        <f t="shared" si="30"/>
        <v>0</v>
      </c>
      <c r="K47" s="119"/>
      <c r="L47" s="233">
        <f t="shared" si="20"/>
        <v>0</v>
      </c>
      <c r="M47" s="233">
        <f t="shared" si="31"/>
        <v>0</v>
      </c>
      <c r="N47" s="233">
        <f t="shared" si="28"/>
        <v>0</v>
      </c>
      <c r="O47" s="44">
        <f t="shared" si="32"/>
        <v>0</v>
      </c>
      <c r="P47" s="65">
        <f t="shared" si="33"/>
        <v>0</v>
      </c>
      <c r="Q47" s="233">
        <f t="shared" si="34"/>
        <v>0</v>
      </c>
      <c r="R47" s="122">
        <f>'Input Data'!$C$90/100/12</f>
        <v>4.5750000000000001E-3</v>
      </c>
      <c r="S47" s="112">
        <f t="shared" ref="S47:S56" si="36">Q46*R47</f>
        <v>0</v>
      </c>
      <c r="T47" s="154">
        <f t="shared" si="35"/>
        <v>693.34983042450949</v>
      </c>
      <c r="U47" s="11"/>
      <c r="V47" s="211"/>
      <c r="W47" t="s">
        <v>16</v>
      </c>
      <c r="Y47" s="44">
        <f>K57</f>
        <v>0</v>
      </c>
      <c r="Z47" t="s">
        <v>115</v>
      </c>
    </row>
    <row r="48" spans="2:26" x14ac:dyDescent="0.35">
      <c r="B48" s="208"/>
      <c r="C48" s="107" t="s">
        <v>148</v>
      </c>
      <c r="D48" s="4">
        <f>D46*D47</f>
        <v>0</v>
      </c>
      <c r="G48" s="107" t="s">
        <v>3</v>
      </c>
      <c r="H48" s="120"/>
      <c r="I48" s="234">
        <f>I47</f>
        <v>0</v>
      </c>
      <c r="J48" s="63">
        <f t="shared" si="30"/>
        <v>0</v>
      </c>
      <c r="K48" s="119"/>
      <c r="L48" s="233">
        <f t="shared" si="20"/>
        <v>0</v>
      </c>
      <c r="M48" s="233">
        <f t="shared" si="31"/>
        <v>0</v>
      </c>
      <c r="N48" s="233">
        <f t="shared" si="28"/>
        <v>0</v>
      </c>
      <c r="O48" s="44">
        <f t="shared" si="32"/>
        <v>0</v>
      </c>
      <c r="P48" s="65">
        <f t="shared" si="33"/>
        <v>0</v>
      </c>
      <c r="Q48" s="233">
        <f t="shared" si="34"/>
        <v>0</v>
      </c>
      <c r="R48" s="122">
        <f>'Input Data'!$C$90/100/12</f>
        <v>4.5750000000000001E-3</v>
      </c>
      <c r="S48" s="112">
        <f t="shared" si="36"/>
        <v>0</v>
      </c>
      <c r="T48" s="154">
        <f t="shared" si="35"/>
        <v>693.34983042450949</v>
      </c>
      <c r="U48" s="11"/>
      <c r="V48" s="211"/>
      <c r="W48" t="s">
        <v>103</v>
      </c>
      <c r="Y48" s="44">
        <f>L57</f>
        <v>0</v>
      </c>
      <c r="Z48" t="s">
        <v>33</v>
      </c>
    </row>
    <row r="49" spans="2:26" x14ac:dyDescent="0.35">
      <c r="B49" s="208"/>
      <c r="C49" s="107" t="s">
        <v>149</v>
      </c>
      <c r="E49" s="4">
        <f>D48/2</f>
        <v>0</v>
      </c>
      <c r="F49" s="179" t="s">
        <v>168</v>
      </c>
      <c r="G49" s="107" t="s">
        <v>4</v>
      </c>
      <c r="H49" s="120"/>
      <c r="I49" s="234">
        <f>E55</f>
        <v>-1E-4</v>
      </c>
      <c r="J49" s="63">
        <f t="shared" si="30"/>
        <v>0</v>
      </c>
      <c r="K49" s="119"/>
      <c r="L49" s="233">
        <f t="shared" si="20"/>
        <v>0</v>
      </c>
      <c r="M49" s="233">
        <f t="shared" si="31"/>
        <v>0</v>
      </c>
      <c r="N49" s="233">
        <f>($E$50+$E$51)/12</f>
        <v>0</v>
      </c>
      <c r="O49" s="44">
        <f t="shared" si="32"/>
        <v>0</v>
      </c>
      <c r="P49" s="65">
        <f t="shared" si="33"/>
        <v>0</v>
      </c>
      <c r="Q49" s="233">
        <f t="shared" si="34"/>
        <v>0</v>
      </c>
      <c r="R49" s="122">
        <f>'Input Data'!$C$90/100/12</f>
        <v>4.5750000000000001E-3</v>
      </c>
      <c r="S49" s="112">
        <f t="shared" si="36"/>
        <v>0</v>
      </c>
      <c r="T49" s="154">
        <f t="shared" si="35"/>
        <v>693.34983042450949</v>
      </c>
      <c r="U49" s="11"/>
      <c r="V49" s="211"/>
      <c r="W49" t="s">
        <v>72</v>
      </c>
      <c r="X49" s="11">
        <f>M57</f>
        <v>0</v>
      </c>
      <c r="Y49" s="21"/>
      <c r="Z49" t="s">
        <v>116</v>
      </c>
    </row>
    <row r="50" spans="2:26" x14ac:dyDescent="0.35">
      <c r="B50" s="208"/>
      <c r="C50" s="107" t="s">
        <v>129</v>
      </c>
      <c r="E50" s="4"/>
      <c r="F50" s="179" t="s">
        <v>227</v>
      </c>
      <c r="G50" s="107" t="s">
        <v>5</v>
      </c>
      <c r="H50" s="120"/>
      <c r="I50" s="234">
        <f>I49</f>
        <v>-1E-4</v>
      </c>
      <c r="J50" s="63">
        <f t="shared" si="30"/>
        <v>0</v>
      </c>
      <c r="K50" s="119"/>
      <c r="L50" s="233">
        <f t="shared" si="20"/>
        <v>0</v>
      </c>
      <c r="M50" s="233">
        <f t="shared" si="31"/>
        <v>0</v>
      </c>
      <c r="N50" s="233">
        <f>($E$50+$E$51)/12</f>
        <v>0</v>
      </c>
      <c r="O50" s="44">
        <f t="shared" si="32"/>
        <v>0</v>
      </c>
      <c r="P50" s="65">
        <f t="shared" si="33"/>
        <v>0</v>
      </c>
      <c r="Q50" s="233">
        <f t="shared" si="34"/>
        <v>0</v>
      </c>
      <c r="R50" s="122">
        <f>'Input Data'!$C$90/100/12</f>
        <v>4.5750000000000001E-3</v>
      </c>
      <c r="S50" s="112">
        <f t="shared" si="36"/>
        <v>0</v>
      </c>
      <c r="T50" s="154">
        <f t="shared" si="35"/>
        <v>693.34983042450949</v>
      </c>
      <c r="U50" s="11"/>
      <c r="V50" s="211"/>
      <c r="W50" t="s">
        <v>73</v>
      </c>
      <c r="X50" s="40">
        <f>Y27+Y28</f>
        <v>21493.844743159796</v>
      </c>
      <c r="Y50" s="21"/>
      <c r="Z50" t="s">
        <v>223</v>
      </c>
    </row>
    <row r="51" spans="2:26" x14ac:dyDescent="0.35">
      <c r="B51" s="208"/>
      <c r="C51" s="107" t="s">
        <v>130</v>
      </c>
      <c r="E51" s="4">
        <f>Y27</f>
        <v>0</v>
      </c>
      <c r="F51" s="179" t="s">
        <v>228</v>
      </c>
      <c r="G51" s="107" t="s">
        <v>6</v>
      </c>
      <c r="H51" s="120"/>
      <c r="I51" s="234">
        <f t="shared" ref="I51:I56" si="37">I50</f>
        <v>-1E-4</v>
      </c>
      <c r="J51" s="63">
        <f t="shared" si="30"/>
        <v>0</v>
      </c>
      <c r="K51" s="119"/>
      <c r="L51" s="233">
        <f t="shared" si="20"/>
        <v>0</v>
      </c>
      <c r="M51" s="233">
        <f t="shared" si="31"/>
        <v>0</v>
      </c>
      <c r="N51" s="233">
        <f t="shared" ref="N51:N56" si="38">($E$50+$E$51)/12</f>
        <v>0</v>
      </c>
      <c r="O51" s="44">
        <f t="shared" si="32"/>
        <v>0</v>
      </c>
      <c r="P51" s="65">
        <f t="shared" si="33"/>
        <v>0</v>
      </c>
      <c r="Q51" s="233">
        <f t="shared" si="34"/>
        <v>0</v>
      </c>
      <c r="R51" s="122">
        <f>'Input Data'!$C$90/100/12</f>
        <v>4.5750000000000001E-3</v>
      </c>
      <c r="S51" s="112">
        <f t="shared" si="36"/>
        <v>0</v>
      </c>
      <c r="T51" s="154">
        <f t="shared" si="35"/>
        <v>693.34983042450949</v>
      </c>
      <c r="U51" s="11"/>
      <c r="V51" s="211"/>
      <c r="W51" t="s">
        <v>34</v>
      </c>
      <c r="Y51" s="44">
        <f>X50+X49</f>
        <v>21493.844743159796</v>
      </c>
      <c r="Z51" t="s">
        <v>117</v>
      </c>
    </row>
    <row r="52" spans="2:26" x14ac:dyDescent="0.35">
      <c r="B52" s="208"/>
      <c r="C52" s="67" t="s">
        <v>203</v>
      </c>
      <c r="E52" s="4">
        <f>Y28</f>
        <v>21493.844743159796</v>
      </c>
      <c r="G52" s="107" t="s">
        <v>7</v>
      </c>
      <c r="H52" s="120"/>
      <c r="I52" s="234">
        <f t="shared" si="37"/>
        <v>-1E-4</v>
      </c>
      <c r="J52" s="63">
        <f t="shared" si="30"/>
        <v>0</v>
      </c>
      <c r="K52" s="119"/>
      <c r="L52" s="233">
        <f t="shared" si="20"/>
        <v>0</v>
      </c>
      <c r="M52" s="233">
        <f t="shared" si="31"/>
        <v>0</v>
      </c>
      <c r="N52" s="233">
        <f t="shared" si="38"/>
        <v>0</v>
      </c>
      <c r="O52" s="44">
        <f t="shared" si="32"/>
        <v>0</v>
      </c>
      <c r="P52" s="65">
        <f t="shared" si="33"/>
        <v>0</v>
      </c>
      <c r="Q52" s="233">
        <f t="shared" si="34"/>
        <v>0</v>
      </c>
      <c r="R52" s="122">
        <f>'Input Data'!$C$90/100/12</f>
        <v>4.5750000000000001E-3</v>
      </c>
      <c r="S52" s="112">
        <f t="shared" si="36"/>
        <v>0</v>
      </c>
      <c r="T52" s="154">
        <f t="shared" si="35"/>
        <v>693.34983042450949</v>
      </c>
      <c r="U52" s="11"/>
      <c r="V52" s="211"/>
      <c r="W52" t="s">
        <v>35</v>
      </c>
      <c r="Y52" s="72">
        <f>J57</f>
        <v>0</v>
      </c>
      <c r="Z52" t="s">
        <v>204</v>
      </c>
    </row>
    <row r="53" spans="2:26" x14ac:dyDescent="0.35">
      <c r="B53" s="208"/>
      <c r="G53" s="107" t="s">
        <v>8</v>
      </c>
      <c r="H53" s="120"/>
      <c r="I53" s="234">
        <f t="shared" si="37"/>
        <v>-1E-4</v>
      </c>
      <c r="J53" s="63">
        <f t="shared" si="30"/>
        <v>0</v>
      </c>
      <c r="K53" s="119"/>
      <c r="L53" s="233">
        <f t="shared" si="20"/>
        <v>0</v>
      </c>
      <c r="M53" s="233">
        <f t="shared" si="31"/>
        <v>0</v>
      </c>
      <c r="N53" s="233">
        <f t="shared" si="38"/>
        <v>0</v>
      </c>
      <c r="O53" s="44">
        <f t="shared" si="32"/>
        <v>0</v>
      </c>
      <c r="P53" s="65">
        <f t="shared" si="33"/>
        <v>0</v>
      </c>
      <c r="Q53" s="233">
        <f t="shared" si="34"/>
        <v>0</v>
      </c>
      <c r="R53" s="122">
        <f>'Input Data'!$C$90/100/12</f>
        <v>4.5750000000000001E-3</v>
      </c>
      <c r="S53" s="112">
        <f t="shared" si="36"/>
        <v>0</v>
      </c>
      <c r="T53" s="154">
        <f t="shared" si="35"/>
        <v>693.34983042450949</v>
      </c>
      <c r="U53" s="11"/>
      <c r="V53" s="211"/>
      <c r="W53" t="s">
        <v>19</v>
      </c>
      <c r="Y53" s="85">
        <f>Y51-Y52</f>
        <v>21493.844743159796</v>
      </c>
      <c r="Z53" t="s">
        <v>190</v>
      </c>
    </row>
    <row r="54" spans="2:26" x14ac:dyDescent="0.35">
      <c r="B54" s="208"/>
      <c r="C54" s="20" t="s">
        <v>128</v>
      </c>
      <c r="D54" s="124">
        <f>D42</f>
        <v>185090366</v>
      </c>
      <c r="F54" s="179" t="s">
        <v>186</v>
      </c>
      <c r="G54" s="107" t="s">
        <v>9</v>
      </c>
      <c r="H54" s="120"/>
      <c r="I54" s="234">
        <f t="shared" si="37"/>
        <v>-1E-4</v>
      </c>
      <c r="J54" s="63">
        <f t="shared" si="30"/>
        <v>0</v>
      </c>
      <c r="K54" s="119"/>
      <c r="L54" s="233">
        <f t="shared" si="20"/>
        <v>0</v>
      </c>
      <c r="M54" s="233">
        <f t="shared" si="31"/>
        <v>0</v>
      </c>
      <c r="N54" s="233">
        <f t="shared" si="38"/>
        <v>0</v>
      </c>
      <c r="O54" s="44">
        <f t="shared" si="32"/>
        <v>0</v>
      </c>
      <c r="P54" s="65">
        <f t="shared" si="33"/>
        <v>0</v>
      </c>
      <c r="Q54" s="233">
        <f t="shared" si="34"/>
        <v>0</v>
      </c>
      <c r="R54" s="122">
        <f>'Input Data'!$C$90/100/12</f>
        <v>4.5750000000000001E-3</v>
      </c>
      <c r="S54" s="112">
        <f t="shared" si="36"/>
        <v>0</v>
      </c>
      <c r="T54" s="154">
        <f t="shared" si="35"/>
        <v>693.34983042450949</v>
      </c>
      <c r="U54" s="11"/>
      <c r="V54" s="211"/>
      <c r="W54" t="s">
        <v>36</v>
      </c>
      <c r="Y54" s="44">
        <f>S57+T70</f>
        <v>0</v>
      </c>
      <c r="Z54" t="s">
        <v>189</v>
      </c>
    </row>
    <row r="55" spans="2:26" x14ac:dyDescent="0.35">
      <c r="B55" s="208"/>
      <c r="C55" s="67" t="s">
        <v>205</v>
      </c>
      <c r="E55" s="25">
        <f>ROUND(-E52/D54,4)</f>
        <v>-1E-4</v>
      </c>
      <c r="G55" s="107" t="s">
        <v>10</v>
      </c>
      <c r="H55" s="120"/>
      <c r="I55" s="234">
        <f t="shared" si="37"/>
        <v>-1E-4</v>
      </c>
      <c r="J55" s="63">
        <f t="shared" si="30"/>
        <v>0</v>
      </c>
      <c r="K55" s="119"/>
      <c r="L55" s="233">
        <f t="shared" si="20"/>
        <v>0</v>
      </c>
      <c r="M55" s="233">
        <f t="shared" si="31"/>
        <v>0</v>
      </c>
      <c r="N55" s="233">
        <f t="shared" si="38"/>
        <v>0</v>
      </c>
      <c r="O55" s="44">
        <f t="shared" si="32"/>
        <v>0</v>
      </c>
      <c r="P55" s="65">
        <f t="shared" si="33"/>
        <v>0</v>
      </c>
      <c r="Q55" s="233">
        <f t="shared" si="34"/>
        <v>0</v>
      </c>
      <c r="R55" s="122">
        <f>'Input Data'!$C$90/100/12</f>
        <v>4.5750000000000001E-3</v>
      </c>
      <c r="S55" s="112">
        <f t="shared" si="36"/>
        <v>0</v>
      </c>
      <c r="T55" s="154">
        <f t="shared" si="35"/>
        <v>693.34983042450949</v>
      </c>
      <c r="U55" s="11"/>
      <c r="V55" s="212"/>
      <c r="W55" s="23"/>
      <c r="X55" s="23"/>
      <c r="Y55" s="24"/>
    </row>
    <row r="56" spans="2:26" x14ac:dyDescent="0.35">
      <c r="B56" s="208"/>
      <c r="G56" s="107" t="s">
        <v>11</v>
      </c>
      <c r="H56" s="120"/>
      <c r="I56" s="234">
        <f t="shared" si="37"/>
        <v>-1E-4</v>
      </c>
      <c r="J56" s="63">
        <f t="shared" si="30"/>
        <v>0</v>
      </c>
      <c r="K56" s="119"/>
      <c r="L56" s="233">
        <f t="shared" si="20"/>
        <v>0</v>
      </c>
      <c r="M56" s="233">
        <f t="shared" si="31"/>
        <v>0</v>
      </c>
      <c r="N56" s="233">
        <f t="shared" si="38"/>
        <v>0</v>
      </c>
      <c r="O56" s="44">
        <f t="shared" si="32"/>
        <v>0</v>
      </c>
      <c r="P56" s="65">
        <f t="shared" si="33"/>
        <v>0</v>
      </c>
      <c r="Q56" s="233">
        <f t="shared" si="34"/>
        <v>0</v>
      </c>
      <c r="R56" s="122">
        <f>'Input Data'!$C$90/100/12</f>
        <v>4.5750000000000001E-3</v>
      </c>
      <c r="S56" s="112">
        <f t="shared" si="36"/>
        <v>0</v>
      </c>
      <c r="T56" s="154">
        <f t="shared" si="35"/>
        <v>693.34983042450949</v>
      </c>
      <c r="U56" s="11"/>
    </row>
    <row r="57" spans="2:26" ht="15" thickBot="1" x14ac:dyDescent="0.4">
      <c r="B57" s="209"/>
      <c r="C57" s="145"/>
      <c r="D57" s="145"/>
      <c r="E57" s="145"/>
      <c r="F57" s="180"/>
      <c r="G57" s="125" t="s">
        <v>14</v>
      </c>
      <c r="H57" s="126">
        <f>SUM(H45:H56)</f>
        <v>0</v>
      </c>
      <c r="I57" s="127"/>
      <c r="J57" s="128">
        <f t="shared" ref="J57:P57" si="39">SUM(J45:J56)</f>
        <v>0</v>
      </c>
      <c r="K57" s="129">
        <f t="shared" si="39"/>
        <v>0</v>
      </c>
      <c r="L57" s="130">
        <f t="shared" si="39"/>
        <v>0</v>
      </c>
      <c r="M57" s="130">
        <f t="shared" si="39"/>
        <v>0</v>
      </c>
      <c r="N57" s="130">
        <f t="shared" si="39"/>
        <v>0</v>
      </c>
      <c r="O57" s="128">
        <f t="shared" si="39"/>
        <v>0</v>
      </c>
      <c r="P57" s="129">
        <f t="shared" si="39"/>
        <v>0</v>
      </c>
      <c r="Q57" s="131"/>
      <c r="R57" s="127"/>
      <c r="S57" s="130">
        <f>SUM(S45:S56)</f>
        <v>0</v>
      </c>
      <c r="T57" s="183">
        <f>SUM(T45:T56)</f>
        <v>8320.1979650941139</v>
      </c>
      <c r="U57" s="12"/>
    </row>
  </sheetData>
  <mergeCells count="10">
    <mergeCell ref="B45:B57"/>
    <mergeCell ref="V46:V55"/>
    <mergeCell ref="G2:T2"/>
    <mergeCell ref="C5:E5"/>
    <mergeCell ref="V20:V29"/>
    <mergeCell ref="V33:V42"/>
    <mergeCell ref="B32:B44"/>
    <mergeCell ref="B6:B18"/>
    <mergeCell ref="B19:B31"/>
    <mergeCell ref="V7:V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E699-BACD-42C7-878B-F31710D75E42}">
  <dimension ref="B1:Q43"/>
  <sheetViews>
    <sheetView topLeftCell="A3" workbookViewId="0">
      <selection activeCell="I20" sqref="I20"/>
    </sheetView>
  </sheetViews>
  <sheetFormatPr defaultRowHeight="14.5" x14ac:dyDescent="0.35"/>
  <cols>
    <col min="3" max="3" width="11.26953125" bestFit="1" customWidth="1"/>
    <col min="4" max="4" width="11.54296875" bestFit="1" customWidth="1"/>
    <col min="5" max="7" width="12.26953125" bestFit="1" customWidth="1"/>
    <col min="8" max="8" width="11.54296875" customWidth="1"/>
    <col min="9" max="9" width="8.453125" bestFit="1" customWidth="1"/>
    <col min="10" max="10" width="9.1796875" customWidth="1"/>
    <col min="11" max="11" width="9.7265625" bestFit="1" customWidth="1"/>
    <col min="14" max="14" width="33.54296875" bestFit="1" customWidth="1"/>
    <col min="15" max="15" width="11.1796875" customWidth="1"/>
    <col min="16" max="16" width="13" customWidth="1"/>
    <col min="17" max="17" width="43" bestFit="1" customWidth="1"/>
  </cols>
  <sheetData>
    <row r="1" spans="2:17" ht="15" thickBot="1" x14ac:dyDescent="0.4"/>
    <row r="2" spans="2:17" ht="15.5" x14ac:dyDescent="0.35">
      <c r="C2" s="219" t="s">
        <v>138</v>
      </c>
      <c r="D2" s="220"/>
      <c r="E2" s="220"/>
      <c r="F2" s="220"/>
      <c r="G2" s="220"/>
      <c r="H2" s="220"/>
      <c r="I2" s="220"/>
      <c r="J2" s="220"/>
      <c r="K2" s="221"/>
    </row>
    <row r="3" spans="2:17" ht="43.5" x14ac:dyDescent="0.35">
      <c r="C3" s="67"/>
      <c r="D3" s="82" t="s">
        <v>16</v>
      </c>
      <c r="E3" s="83" t="s">
        <v>132</v>
      </c>
      <c r="F3" s="83" t="s">
        <v>72</v>
      </c>
      <c r="G3" s="81" t="s">
        <v>34</v>
      </c>
      <c r="H3" s="80" t="s">
        <v>139</v>
      </c>
      <c r="I3" s="80" t="s">
        <v>23</v>
      </c>
      <c r="J3" s="80" t="s">
        <v>22</v>
      </c>
      <c r="K3" s="84" t="s">
        <v>95</v>
      </c>
    </row>
    <row r="4" spans="2:17" ht="15" thickBot="1" x14ac:dyDescent="0.4">
      <c r="C4" s="70"/>
      <c r="D4" s="116" t="s">
        <v>24</v>
      </c>
      <c r="E4" s="117" t="s">
        <v>157</v>
      </c>
      <c r="F4" s="117" t="s">
        <v>158</v>
      </c>
      <c r="G4" s="115" t="s">
        <v>159</v>
      </c>
      <c r="H4" s="114" t="s">
        <v>160</v>
      </c>
      <c r="I4" s="114" t="s">
        <v>27</v>
      </c>
      <c r="J4" s="114" t="s">
        <v>161</v>
      </c>
      <c r="K4" s="118"/>
    </row>
    <row r="5" spans="2:17" x14ac:dyDescent="0.35">
      <c r="B5" s="207">
        <v>2023</v>
      </c>
      <c r="C5" t="s">
        <v>0</v>
      </c>
      <c r="D5" s="65"/>
      <c r="E5" s="11">
        <f t="shared" ref="E5:E16" si="0">-D5/2</f>
        <v>0</v>
      </c>
      <c r="F5" s="11">
        <f t="shared" ref="F5:F16" si="1">-D5/2</f>
        <v>0</v>
      </c>
      <c r="G5" s="44">
        <f t="shared" ref="G5:G29" si="2">F5</f>
        <v>0</v>
      </c>
      <c r="H5" s="11">
        <f>G5</f>
        <v>0</v>
      </c>
      <c r="I5" s="66">
        <f>'Input Data'!$C$86/100/12</f>
        <v>3.9416666666666671E-3</v>
      </c>
      <c r="J5" s="112">
        <f t="shared" ref="J5:J10" si="3">H5*I5</f>
        <v>0</v>
      </c>
      <c r="K5" s="69"/>
      <c r="L5" s="11"/>
    </row>
    <row r="6" spans="2:17" x14ac:dyDescent="0.35">
      <c r="B6" s="208"/>
      <c r="C6" t="s">
        <v>1</v>
      </c>
      <c r="D6" s="65"/>
      <c r="E6" s="11">
        <f t="shared" si="0"/>
        <v>0</v>
      </c>
      <c r="F6" s="11">
        <f t="shared" si="1"/>
        <v>0</v>
      </c>
      <c r="G6" s="44">
        <f t="shared" si="2"/>
        <v>0</v>
      </c>
      <c r="H6" s="11">
        <f t="shared" ref="H6:H16" si="4">H5+G6</f>
        <v>0</v>
      </c>
      <c r="I6" s="66">
        <f>'Input Data'!$C$86/100/12</f>
        <v>3.9416666666666671E-3</v>
      </c>
      <c r="J6" s="112">
        <f t="shared" si="3"/>
        <v>0</v>
      </c>
      <c r="K6" s="69"/>
      <c r="L6" s="11"/>
      <c r="M6" s="146" t="s">
        <v>104</v>
      </c>
      <c r="N6" s="18"/>
      <c r="O6" s="18"/>
      <c r="P6" s="19"/>
    </row>
    <row r="7" spans="2:17" x14ac:dyDescent="0.35">
      <c r="B7" s="208"/>
      <c r="C7" t="s">
        <v>2</v>
      </c>
      <c r="D7" s="65"/>
      <c r="E7" s="11">
        <f t="shared" si="0"/>
        <v>0</v>
      </c>
      <c r="F7" s="11">
        <f t="shared" si="1"/>
        <v>0</v>
      </c>
      <c r="G7" s="44">
        <f t="shared" si="2"/>
        <v>0</v>
      </c>
      <c r="H7" s="11">
        <f t="shared" si="4"/>
        <v>0</v>
      </c>
      <c r="I7" s="66">
        <f>'Input Data'!$C$86/100/12</f>
        <v>3.9416666666666671E-3</v>
      </c>
      <c r="J7" s="112">
        <f t="shared" si="3"/>
        <v>0</v>
      </c>
      <c r="K7" s="69"/>
      <c r="L7" s="11"/>
      <c r="M7" s="86"/>
      <c r="N7" t="s">
        <v>105</v>
      </c>
      <c r="P7" s="44">
        <f>D17</f>
        <v>847416.91</v>
      </c>
      <c r="Q7" t="s">
        <v>115</v>
      </c>
    </row>
    <row r="8" spans="2:17" x14ac:dyDescent="0.35">
      <c r="B8" s="208"/>
      <c r="C8" t="s">
        <v>3</v>
      </c>
      <c r="D8" s="65"/>
      <c r="E8" s="11">
        <f t="shared" si="0"/>
        <v>0</v>
      </c>
      <c r="F8" s="11">
        <f t="shared" si="1"/>
        <v>0</v>
      </c>
      <c r="G8" s="44">
        <f t="shared" si="2"/>
        <v>0</v>
      </c>
      <c r="H8" s="11">
        <f t="shared" si="4"/>
        <v>0</v>
      </c>
      <c r="I8" s="66">
        <f>'Input Data'!$C$87/100/12</f>
        <v>4.15E-3</v>
      </c>
      <c r="J8" s="112">
        <f t="shared" si="3"/>
        <v>0</v>
      </c>
      <c r="K8" s="69"/>
      <c r="L8" s="11"/>
      <c r="M8" s="86"/>
      <c r="N8" t="s">
        <v>103</v>
      </c>
      <c r="P8" s="44">
        <f>E17</f>
        <v>-423708.45500000002</v>
      </c>
      <c r="Q8" t="s">
        <v>33</v>
      </c>
    </row>
    <row r="9" spans="2:17" x14ac:dyDescent="0.35">
      <c r="B9" s="208"/>
      <c r="C9" t="s">
        <v>4</v>
      </c>
      <c r="D9" s="65"/>
      <c r="E9" s="11">
        <f t="shared" si="0"/>
        <v>0</v>
      </c>
      <c r="F9" s="11">
        <f t="shared" si="1"/>
        <v>0</v>
      </c>
      <c r="G9" s="44">
        <f t="shared" si="2"/>
        <v>0</v>
      </c>
      <c r="H9" s="11">
        <f t="shared" si="4"/>
        <v>0</v>
      </c>
      <c r="I9" s="66">
        <f>'Input Data'!$C$87/100/12</f>
        <v>4.15E-3</v>
      </c>
      <c r="J9" s="112">
        <f t="shared" si="3"/>
        <v>0</v>
      </c>
      <c r="K9" s="69"/>
      <c r="L9" s="11"/>
      <c r="M9" s="86"/>
      <c r="N9" t="s">
        <v>140</v>
      </c>
      <c r="P9" s="44">
        <f>F17</f>
        <v>-423708.45500000002</v>
      </c>
      <c r="Q9" t="s">
        <v>141</v>
      </c>
    </row>
    <row r="10" spans="2:17" x14ac:dyDescent="0.35">
      <c r="B10" s="208"/>
      <c r="C10" t="s">
        <v>5</v>
      </c>
      <c r="D10" s="65"/>
      <c r="E10" s="11">
        <f t="shared" si="0"/>
        <v>0</v>
      </c>
      <c r="F10" s="11">
        <f t="shared" si="1"/>
        <v>0</v>
      </c>
      <c r="G10" s="44">
        <f t="shared" si="2"/>
        <v>0</v>
      </c>
      <c r="H10" s="11">
        <f t="shared" si="4"/>
        <v>0</v>
      </c>
      <c r="I10" s="66">
        <f>'Input Data'!$C$87/100/12</f>
        <v>4.15E-3</v>
      </c>
      <c r="J10" s="112">
        <f t="shared" si="3"/>
        <v>0</v>
      </c>
      <c r="K10" s="69"/>
      <c r="L10" s="11"/>
      <c r="M10" s="87"/>
      <c r="N10" s="23" t="s">
        <v>20</v>
      </c>
      <c r="O10" s="23"/>
      <c r="P10" s="72">
        <f>J17+K30</f>
        <v>-30947.171507875006</v>
      </c>
      <c r="Q10" t="s">
        <v>142</v>
      </c>
    </row>
    <row r="11" spans="2:17" x14ac:dyDescent="0.35">
      <c r="B11" s="208"/>
      <c r="C11" t="s">
        <v>6</v>
      </c>
      <c r="D11" s="119">
        <f>'Input Data'!W11</f>
        <v>256400.04</v>
      </c>
      <c r="E11" s="11">
        <f>-D11/2</f>
        <v>-128200.02</v>
      </c>
      <c r="F11" s="11">
        <f t="shared" si="1"/>
        <v>-128200.02</v>
      </c>
      <c r="G11" s="44">
        <f t="shared" si="2"/>
        <v>-128200.02</v>
      </c>
      <c r="H11" s="11">
        <f t="shared" si="4"/>
        <v>-128200.02</v>
      </c>
      <c r="I11" s="121">
        <f>'Input Data'!$C$88/100/12</f>
        <v>4.15E-3</v>
      </c>
      <c r="J11" s="112">
        <f>H10*I11</f>
        <v>0</v>
      </c>
      <c r="K11" s="69"/>
      <c r="L11" s="11"/>
    </row>
    <row r="12" spans="2:17" x14ac:dyDescent="0.35">
      <c r="B12" s="208"/>
      <c r="C12" t="s">
        <v>7</v>
      </c>
      <c r="D12" s="119">
        <f>'Input Data'!W12</f>
        <v>388490.9</v>
      </c>
      <c r="E12" s="11">
        <f t="shared" si="0"/>
        <v>-194245.45</v>
      </c>
      <c r="F12" s="11">
        <f t="shared" si="1"/>
        <v>-194245.45</v>
      </c>
      <c r="G12" s="44">
        <f t="shared" si="2"/>
        <v>-194245.45</v>
      </c>
      <c r="H12" s="11">
        <f t="shared" si="4"/>
        <v>-322445.47000000003</v>
      </c>
      <c r="I12" s="121">
        <f>'Input Data'!$C$88/100/12</f>
        <v>4.15E-3</v>
      </c>
      <c r="J12" s="112">
        <f t="shared" ref="J12:J16" si="5">H11*I12</f>
        <v>-532.03008299999999</v>
      </c>
      <c r="K12" s="69"/>
      <c r="L12" s="11"/>
    </row>
    <row r="13" spans="2:17" x14ac:dyDescent="0.35">
      <c r="B13" s="208"/>
      <c r="C13" t="s">
        <v>8</v>
      </c>
      <c r="D13" s="119">
        <f>'Input Data'!W13</f>
        <v>202525.97</v>
      </c>
      <c r="E13" s="11">
        <f t="shared" si="0"/>
        <v>-101262.985</v>
      </c>
      <c r="F13" s="11">
        <f t="shared" si="1"/>
        <v>-101262.985</v>
      </c>
      <c r="G13" s="44">
        <f t="shared" si="2"/>
        <v>-101262.985</v>
      </c>
      <c r="H13" s="11">
        <f t="shared" si="4"/>
        <v>-423708.45500000002</v>
      </c>
      <c r="I13" s="121">
        <f>'Input Data'!$C$88/100/12</f>
        <v>4.15E-3</v>
      </c>
      <c r="J13" s="112">
        <f t="shared" si="5"/>
        <v>-1338.1487005000001</v>
      </c>
      <c r="K13" s="69"/>
      <c r="L13" s="11"/>
    </row>
    <row r="14" spans="2:17" x14ac:dyDescent="0.35">
      <c r="B14" s="208"/>
      <c r="C14" t="s">
        <v>9</v>
      </c>
      <c r="D14" s="119">
        <f>'Input Data'!W14</f>
        <v>0</v>
      </c>
      <c r="E14" s="11">
        <f t="shared" si="0"/>
        <v>0</v>
      </c>
      <c r="F14" s="11">
        <f t="shared" si="1"/>
        <v>0</v>
      </c>
      <c r="G14" s="44">
        <f t="shared" si="2"/>
        <v>0</v>
      </c>
      <c r="H14" s="11">
        <f t="shared" si="4"/>
        <v>-423708.45500000002</v>
      </c>
      <c r="I14" s="121">
        <f>'Input Data'!$C$89/100/12</f>
        <v>4.5750000000000001E-3</v>
      </c>
      <c r="J14" s="112">
        <f t="shared" si="5"/>
        <v>-1938.4661816250002</v>
      </c>
      <c r="K14" s="69"/>
      <c r="L14" s="11"/>
    </row>
    <row r="15" spans="2:17" x14ac:dyDescent="0.35">
      <c r="B15" s="208"/>
      <c r="C15" t="s">
        <v>10</v>
      </c>
      <c r="D15" s="119">
        <f>'Input Data'!W15</f>
        <v>0</v>
      </c>
      <c r="E15" s="11">
        <f t="shared" si="0"/>
        <v>0</v>
      </c>
      <c r="F15" s="11">
        <f t="shared" si="1"/>
        <v>0</v>
      </c>
      <c r="G15" s="44">
        <f t="shared" si="2"/>
        <v>0</v>
      </c>
      <c r="H15" s="11">
        <f t="shared" si="4"/>
        <v>-423708.45500000002</v>
      </c>
      <c r="I15" s="121">
        <f>'Input Data'!$C$89/100/12</f>
        <v>4.5750000000000001E-3</v>
      </c>
      <c r="J15" s="112">
        <f t="shared" si="5"/>
        <v>-1938.4661816250002</v>
      </c>
      <c r="K15" s="69"/>
      <c r="L15" s="11"/>
    </row>
    <row r="16" spans="2:17" x14ac:dyDescent="0.35">
      <c r="B16" s="208"/>
      <c r="C16" t="s">
        <v>11</v>
      </c>
      <c r="D16" s="119">
        <f>'Input Data'!W16</f>
        <v>0</v>
      </c>
      <c r="E16" s="11">
        <f t="shared" si="0"/>
        <v>0</v>
      </c>
      <c r="F16" s="11">
        <f t="shared" si="1"/>
        <v>0</v>
      </c>
      <c r="G16" s="44">
        <f t="shared" si="2"/>
        <v>0</v>
      </c>
      <c r="H16" s="11">
        <f t="shared" si="4"/>
        <v>-423708.45500000002</v>
      </c>
      <c r="I16" s="121">
        <f>'Input Data'!$C$89/100/12</f>
        <v>4.5750000000000001E-3</v>
      </c>
      <c r="J16" s="112">
        <f t="shared" si="5"/>
        <v>-1938.4661816250002</v>
      </c>
      <c r="K16" s="69"/>
      <c r="L16" s="11"/>
    </row>
    <row r="17" spans="2:17" ht="15" thickBot="1" x14ac:dyDescent="0.4">
      <c r="B17" s="209"/>
      <c r="C17" s="127" t="s">
        <v>14</v>
      </c>
      <c r="D17" s="129">
        <f>SUM(D5:D16)</f>
        <v>847416.91</v>
      </c>
      <c r="E17" s="130">
        <f>SUM(E5:E16)</f>
        <v>-423708.45500000002</v>
      </c>
      <c r="F17" s="130">
        <f>SUM(F5:F16)</f>
        <v>-423708.45500000002</v>
      </c>
      <c r="G17" s="128">
        <f>SUM(G5:G16)</f>
        <v>-423708.45500000002</v>
      </c>
      <c r="H17" s="131"/>
      <c r="I17" s="127"/>
      <c r="J17" s="130">
        <f>SUM(J5:J16)</f>
        <v>-7685.5773283750004</v>
      </c>
      <c r="K17" s="132">
        <f>SUM(K5:K16)</f>
        <v>0</v>
      </c>
      <c r="L17" s="12"/>
    </row>
    <row r="18" spans="2:17" x14ac:dyDescent="0.35">
      <c r="B18" s="207">
        <v>2024</v>
      </c>
      <c r="C18" s="108" t="s">
        <v>0</v>
      </c>
      <c r="D18" s="150"/>
      <c r="E18" s="109">
        <f t="shared" ref="E18:E29" si="6">-D18/2</f>
        <v>0</v>
      </c>
      <c r="F18" s="109">
        <f t="shared" ref="F18:F29" si="7">-D18/2</f>
        <v>0</v>
      </c>
      <c r="G18" s="110">
        <f t="shared" si="2"/>
        <v>0</v>
      </c>
      <c r="H18" s="109">
        <f>G18</f>
        <v>0</v>
      </c>
      <c r="I18" s="189">
        <f>'Input Data'!$C$90/100/12</f>
        <v>4.5750000000000001E-3</v>
      </c>
      <c r="J18" s="111"/>
      <c r="K18" s="69">
        <f>$H$16*I18</f>
        <v>-1938.4661816250002</v>
      </c>
      <c r="L18" s="11"/>
    </row>
    <row r="19" spans="2:17" x14ac:dyDescent="0.35">
      <c r="B19" s="208"/>
      <c r="C19" s="107" t="s">
        <v>1</v>
      </c>
      <c r="D19" s="119"/>
      <c r="E19" s="11">
        <f t="shared" si="6"/>
        <v>0</v>
      </c>
      <c r="F19" s="11">
        <f t="shared" si="7"/>
        <v>0</v>
      </c>
      <c r="G19" s="44">
        <f t="shared" si="2"/>
        <v>0</v>
      </c>
      <c r="H19" s="11">
        <f t="shared" ref="H19:H29" si="8">H18+G19</f>
        <v>0</v>
      </c>
      <c r="I19" s="121">
        <f>'Input Data'!$C$90/100/12</f>
        <v>4.5750000000000001E-3</v>
      </c>
      <c r="J19" s="112">
        <f>H18*I19</f>
        <v>0</v>
      </c>
      <c r="K19" s="69">
        <f t="shared" ref="K19:K29" si="9">$H$16*I19</f>
        <v>-1938.4661816250002</v>
      </c>
      <c r="L19" s="11"/>
      <c r="M19" s="146" t="s">
        <v>104</v>
      </c>
      <c r="N19" s="18"/>
      <c r="O19" s="18"/>
      <c r="P19" s="19"/>
    </row>
    <row r="20" spans="2:17" x14ac:dyDescent="0.35">
      <c r="B20" s="208"/>
      <c r="C20" s="107" t="s">
        <v>2</v>
      </c>
      <c r="D20" s="119"/>
      <c r="E20" s="11">
        <f t="shared" si="6"/>
        <v>0</v>
      </c>
      <c r="F20" s="11">
        <f t="shared" si="7"/>
        <v>0</v>
      </c>
      <c r="G20" s="44">
        <f t="shared" si="2"/>
        <v>0</v>
      </c>
      <c r="H20" s="11">
        <f t="shared" si="8"/>
        <v>0</v>
      </c>
      <c r="I20" s="121">
        <f>'Input Data'!$C$90/100/12</f>
        <v>4.5750000000000001E-3</v>
      </c>
      <c r="J20" s="112">
        <f t="shared" ref="J20:J29" si="10">H19*I20</f>
        <v>0</v>
      </c>
      <c r="K20" s="69">
        <f t="shared" si="9"/>
        <v>-1938.4661816250002</v>
      </c>
      <c r="L20" s="11"/>
      <c r="M20" s="86"/>
      <c r="N20" t="s">
        <v>105</v>
      </c>
      <c r="P20" s="44">
        <f>D30</f>
        <v>0</v>
      </c>
      <c r="Q20" t="s">
        <v>115</v>
      </c>
    </row>
    <row r="21" spans="2:17" x14ac:dyDescent="0.35">
      <c r="B21" s="208"/>
      <c r="C21" s="107" t="s">
        <v>3</v>
      </c>
      <c r="D21" s="119"/>
      <c r="E21" s="11">
        <f t="shared" si="6"/>
        <v>0</v>
      </c>
      <c r="F21" s="11">
        <f t="shared" si="7"/>
        <v>0</v>
      </c>
      <c r="G21" s="44">
        <f t="shared" si="2"/>
        <v>0</v>
      </c>
      <c r="H21" s="11">
        <f t="shared" si="8"/>
        <v>0</v>
      </c>
      <c r="I21" s="122">
        <f>'Input Data'!$C$90/100/12</f>
        <v>4.5750000000000001E-3</v>
      </c>
      <c r="J21" s="112">
        <f t="shared" si="10"/>
        <v>0</v>
      </c>
      <c r="K21" s="69">
        <f t="shared" si="9"/>
        <v>-1938.4661816250002</v>
      </c>
      <c r="L21" s="11"/>
      <c r="M21" s="86"/>
      <c r="N21" t="s">
        <v>103</v>
      </c>
      <c r="P21" s="44">
        <f>E30</f>
        <v>0</v>
      </c>
      <c r="Q21" t="s">
        <v>33</v>
      </c>
    </row>
    <row r="22" spans="2:17" x14ac:dyDescent="0.35">
      <c r="B22" s="208"/>
      <c r="C22" s="107" t="s">
        <v>4</v>
      </c>
      <c r="D22" s="65"/>
      <c r="E22" s="11">
        <f t="shared" si="6"/>
        <v>0</v>
      </c>
      <c r="F22" s="11">
        <f t="shared" si="7"/>
        <v>0</v>
      </c>
      <c r="G22" s="44">
        <f t="shared" si="2"/>
        <v>0</v>
      </c>
      <c r="H22" s="11">
        <f t="shared" si="8"/>
        <v>0</v>
      </c>
      <c r="I22" s="122">
        <f>'Input Data'!$C$90/100/12</f>
        <v>4.5750000000000001E-3</v>
      </c>
      <c r="J22" s="112">
        <f t="shared" si="10"/>
        <v>0</v>
      </c>
      <c r="K22" s="69">
        <f t="shared" si="9"/>
        <v>-1938.4661816250002</v>
      </c>
      <c r="L22" s="11"/>
      <c r="M22" s="86"/>
      <c r="N22" t="s">
        <v>140</v>
      </c>
      <c r="P22" s="44">
        <f>F30</f>
        <v>0</v>
      </c>
      <c r="Q22" t="s">
        <v>143</v>
      </c>
    </row>
    <row r="23" spans="2:17" x14ac:dyDescent="0.35">
      <c r="B23" s="208"/>
      <c r="C23" s="107" t="s">
        <v>5</v>
      </c>
      <c r="D23" s="65"/>
      <c r="E23" s="11">
        <f t="shared" si="6"/>
        <v>0</v>
      </c>
      <c r="F23" s="11">
        <f t="shared" si="7"/>
        <v>0</v>
      </c>
      <c r="G23" s="44">
        <f t="shared" si="2"/>
        <v>0</v>
      </c>
      <c r="H23" s="11">
        <f t="shared" si="8"/>
        <v>0</v>
      </c>
      <c r="I23" s="122">
        <f>'Input Data'!$C$90/100/12</f>
        <v>4.5750000000000001E-3</v>
      </c>
      <c r="J23" s="112">
        <f t="shared" si="10"/>
        <v>0</v>
      </c>
      <c r="K23" s="69">
        <f t="shared" si="9"/>
        <v>-1938.4661816250002</v>
      </c>
      <c r="L23" s="11"/>
      <c r="M23" s="87"/>
      <c r="N23" s="23" t="s">
        <v>20</v>
      </c>
      <c r="O23" s="23"/>
      <c r="P23" s="72">
        <f>J30+K43</f>
        <v>0</v>
      </c>
      <c r="Q23" t="s">
        <v>144</v>
      </c>
    </row>
    <row r="24" spans="2:17" x14ac:dyDescent="0.35">
      <c r="B24" s="208"/>
      <c r="C24" s="107" t="s">
        <v>6</v>
      </c>
      <c r="D24" s="65"/>
      <c r="E24" s="11">
        <f t="shared" si="6"/>
        <v>0</v>
      </c>
      <c r="F24" s="11">
        <f t="shared" si="7"/>
        <v>0</v>
      </c>
      <c r="G24" s="44">
        <f t="shared" si="2"/>
        <v>0</v>
      </c>
      <c r="H24" s="11">
        <f t="shared" si="8"/>
        <v>0</v>
      </c>
      <c r="I24" s="122">
        <f>'Input Data'!$C$90/100/12</f>
        <v>4.5750000000000001E-3</v>
      </c>
      <c r="J24" s="112">
        <f t="shared" si="10"/>
        <v>0</v>
      </c>
      <c r="K24" s="69">
        <f t="shared" si="9"/>
        <v>-1938.4661816250002</v>
      </c>
      <c r="L24" s="11"/>
    </row>
    <row r="25" spans="2:17" x14ac:dyDescent="0.35">
      <c r="B25" s="208"/>
      <c r="C25" s="107" t="s">
        <v>7</v>
      </c>
      <c r="D25" s="65"/>
      <c r="E25" s="11">
        <f t="shared" si="6"/>
        <v>0</v>
      </c>
      <c r="F25" s="11">
        <f t="shared" si="7"/>
        <v>0</v>
      </c>
      <c r="G25" s="44">
        <f t="shared" si="2"/>
        <v>0</v>
      </c>
      <c r="H25" s="11">
        <f t="shared" si="8"/>
        <v>0</v>
      </c>
      <c r="I25" s="122">
        <f>'Input Data'!$C$90/100/12</f>
        <v>4.5750000000000001E-3</v>
      </c>
      <c r="J25" s="112">
        <f t="shared" si="10"/>
        <v>0</v>
      </c>
      <c r="K25" s="69">
        <f t="shared" si="9"/>
        <v>-1938.4661816250002</v>
      </c>
      <c r="L25" s="11"/>
    </row>
    <row r="26" spans="2:17" x14ac:dyDescent="0.35">
      <c r="B26" s="208"/>
      <c r="C26" s="107" t="s">
        <v>8</v>
      </c>
      <c r="D26" s="65"/>
      <c r="E26" s="11">
        <f t="shared" si="6"/>
        <v>0</v>
      </c>
      <c r="F26" s="11">
        <f t="shared" si="7"/>
        <v>0</v>
      </c>
      <c r="G26" s="44">
        <f t="shared" si="2"/>
        <v>0</v>
      </c>
      <c r="H26" s="11">
        <f t="shared" si="8"/>
        <v>0</v>
      </c>
      <c r="I26" s="122">
        <f>'Input Data'!$C$90/100/12</f>
        <v>4.5750000000000001E-3</v>
      </c>
      <c r="J26" s="112">
        <f t="shared" si="10"/>
        <v>0</v>
      </c>
      <c r="K26" s="69">
        <f t="shared" si="9"/>
        <v>-1938.4661816250002</v>
      </c>
      <c r="L26" s="11"/>
    </row>
    <row r="27" spans="2:17" x14ac:dyDescent="0.35">
      <c r="B27" s="208"/>
      <c r="C27" s="107" t="s">
        <v>9</v>
      </c>
      <c r="D27" s="65"/>
      <c r="E27" s="11">
        <f t="shared" si="6"/>
        <v>0</v>
      </c>
      <c r="F27" s="11">
        <f t="shared" si="7"/>
        <v>0</v>
      </c>
      <c r="G27" s="44">
        <f t="shared" si="2"/>
        <v>0</v>
      </c>
      <c r="H27" s="11">
        <f t="shared" si="8"/>
        <v>0</v>
      </c>
      <c r="I27" s="122">
        <f>'Input Data'!$C$90/100/12</f>
        <v>4.5750000000000001E-3</v>
      </c>
      <c r="J27" s="112">
        <f t="shared" si="10"/>
        <v>0</v>
      </c>
      <c r="K27" s="69">
        <f t="shared" si="9"/>
        <v>-1938.4661816250002</v>
      </c>
      <c r="L27" s="11"/>
    </row>
    <row r="28" spans="2:17" x14ac:dyDescent="0.35">
      <c r="B28" s="208"/>
      <c r="C28" s="107" t="s">
        <v>10</v>
      </c>
      <c r="D28" s="65"/>
      <c r="E28" s="11">
        <f t="shared" si="6"/>
        <v>0</v>
      </c>
      <c r="F28" s="11">
        <f t="shared" si="7"/>
        <v>0</v>
      </c>
      <c r="G28" s="44">
        <f t="shared" si="2"/>
        <v>0</v>
      </c>
      <c r="H28" s="11">
        <f t="shared" si="8"/>
        <v>0</v>
      </c>
      <c r="I28" s="122">
        <f>'Input Data'!$C$90/100/12</f>
        <v>4.5750000000000001E-3</v>
      </c>
      <c r="J28" s="112">
        <f t="shared" si="10"/>
        <v>0</v>
      </c>
      <c r="K28" s="69">
        <f t="shared" si="9"/>
        <v>-1938.4661816250002</v>
      </c>
      <c r="L28" s="11"/>
    </row>
    <row r="29" spans="2:17" x14ac:dyDescent="0.35">
      <c r="B29" s="208"/>
      <c r="C29" s="107" t="s">
        <v>11</v>
      </c>
      <c r="D29" s="65"/>
      <c r="E29" s="11">
        <f t="shared" si="6"/>
        <v>0</v>
      </c>
      <c r="F29" s="11">
        <f t="shared" si="7"/>
        <v>0</v>
      </c>
      <c r="G29" s="44">
        <f t="shared" si="2"/>
        <v>0</v>
      </c>
      <c r="H29" s="11">
        <f t="shared" si="8"/>
        <v>0</v>
      </c>
      <c r="I29" s="122">
        <f>'Input Data'!$C$90/100/12</f>
        <v>4.5750000000000001E-3</v>
      </c>
      <c r="J29" s="112">
        <f t="shared" si="10"/>
        <v>0</v>
      </c>
      <c r="K29" s="69">
        <f t="shared" si="9"/>
        <v>-1938.4661816250002</v>
      </c>
      <c r="L29" s="11"/>
    </row>
    <row r="30" spans="2:17" ht="15" thickBot="1" x14ac:dyDescent="0.4">
      <c r="B30" s="209"/>
      <c r="C30" s="125" t="s">
        <v>14</v>
      </c>
      <c r="D30" s="129">
        <f>SUM(D18:D29)</f>
        <v>0</v>
      </c>
      <c r="E30" s="130">
        <f>SUM(E18:E29)</f>
        <v>0</v>
      </c>
      <c r="F30" s="130">
        <f>SUM(F18:F29)</f>
        <v>0</v>
      </c>
      <c r="G30" s="128">
        <f>SUM(G18:G29)</f>
        <v>0</v>
      </c>
      <c r="H30" s="131"/>
      <c r="I30" s="127"/>
      <c r="J30" s="130">
        <f>SUM(J18:J29)</f>
        <v>0</v>
      </c>
      <c r="K30" s="132">
        <f>SUM(K18:K29)</f>
        <v>-23261.594179500007</v>
      </c>
      <c r="L30" s="12"/>
    </row>
    <row r="31" spans="2:17" x14ac:dyDescent="0.35">
      <c r="B31" s="207">
        <v>2025</v>
      </c>
      <c r="C31" s="108" t="s">
        <v>0</v>
      </c>
      <c r="D31" s="65"/>
      <c r="E31" s="11"/>
      <c r="F31" s="11"/>
      <c r="G31" s="44"/>
      <c r="H31" s="11"/>
      <c r="I31" s="151">
        <f>'Input Data'!$C$90/100/12</f>
        <v>4.5750000000000001E-3</v>
      </c>
      <c r="J31" s="111"/>
      <c r="K31" s="69">
        <f>$H$29*I31</f>
        <v>0</v>
      </c>
    </row>
    <row r="32" spans="2:17" x14ac:dyDescent="0.35">
      <c r="B32" s="208"/>
      <c r="C32" s="107" t="s">
        <v>1</v>
      </c>
      <c r="D32" s="65"/>
      <c r="E32" s="11"/>
      <c r="F32" s="11"/>
      <c r="G32" s="44"/>
      <c r="H32" s="11"/>
      <c r="I32" s="122">
        <f>'Input Data'!$C$90/100/12</f>
        <v>4.5750000000000001E-3</v>
      </c>
      <c r="J32" s="112">
        <f>H31*I32</f>
        <v>0</v>
      </c>
      <c r="K32" s="69">
        <f t="shared" ref="K32:K42" si="11">$H$29*I32</f>
        <v>0</v>
      </c>
    </row>
    <row r="33" spans="2:11" x14ac:dyDescent="0.35">
      <c r="B33" s="208"/>
      <c r="C33" s="107" t="s">
        <v>2</v>
      </c>
      <c r="D33" s="65"/>
      <c r="E33" s="11"/>
      <c r="F33" s="11"/>
      <c r="G33" s="44"/>
      <c r="H33" s="11"/>
      <c r="I33" s="122">
        <f>'Input Data'!$C$90/100/12</f>
        <v>4.5750000000000001E-3</v>
      </c>
      <c r="J33" s="112">
        <f t="shared" ref="J33:J42" si="12">H32*I33</f>
        <v>0</v>
      </c>
      <c r="K33" s="69">
        <f t="shared" si="11"/>
        <v>0</v>
      </c>
    </row>
    <row r="34" spans="2:11" x14ac:dyDescent="0.35">
      <c r="B34" s="208"/>
      <c r="C34" s="107" t="s">
        <v>3</v>
      </c>
      <c r="D34" s="65"/>
      <c r="E34" s="11"/>
      <c r="F34" s="11"/>
      <c r="G34" s="44"/>
      <c r="H34" s="11"/>
      <c r="I34" s="122">
        <f>'Input Data'!$C$90/100/12</f>
        <v>4.5750000000000001E-3</v>
      </c>
      <c r="J34" s="112">
        <f t="shared" si="12"/>
        <v>0</v>
      </c>
      <c r="K34" s="69">
        <f t="shared" si="11"/>
        <v>0</v>
      </c>
    </row>
    <row r="35" spans="2:11" x14ac:dyDescent="0.35">
      <c r="B35" s="208"/>
      <c r="C35" s="107" t="s">
        <v>4</v>
      </c>
      <c r="D35" s="65"/>
      <c r="E35" s="11"/>
      <c r="F35" s="11"/>
      <c r="G35" s="44"/>
      <c r="H35" s="11"/>
      <c r="I35" s="122">
        <f>'Input Data'!$C$90/100/12</f>
        <v>4.5750000000000001E-3</v>
      </c>
      <c r="J35" s="112">
        <f t="shared" si="12"/>
        <v>0</v>
      </c>
      <c r="K35" s="69">
        <f t="shared" si="11"/>
        <v>0</v>
      </c>
    </row>
    <row r="36" spans="2:11" x14ac:dyDescent="0.35">
      <c r="B36" s="208"/>
      <c r="C36" s="107" t="s">
        <v>5</v>
      </c>
      <c r="D36" s="65"/>
      <c r="E36" s="11"/>
      <c r="F36" s="11"/>
      <c r="G36" s="44"/>
      <c r="H36" s="11"/>
      <c r="I36" s="122">
        <f>'Input Data'!$C$90/100/12</f>
        <v>4.5750000000000001E-3</v>
      </c>
      <c r="J36" s="112">
        <f t="shared" si="12"/>
        <v>0</v>
      </c>
      <c r="K36" s="69">
        <f t="shared" si="11"/>
        <v>0</v>
      </c>
    </row>
    <row r="37" spans="2:11" x14ac:dyDescent="0.35">
      <c r="B37" s="208"/>
      <c r="C37" s="107" t="s">
        <v>6</v>
      </c>
      <c r="D37" s="65"/>
      <c r="E37" s="11"/>
      <c r="F37" s="11"/>
      <c r="G37" s="44"/>
      <c r="H37" s="11"/>
      <c r="I37" s="122">
        <f>'Input Data'!$C$90/100/12</f>
        <v>4.5750000000000001E-3</v>
      </c>
      <c r="J37" s="112">
        <f t="shared" si="12"/>
        <v>0</v>
      </c>
      <c r="K37" s="69">
        <f t="shared" si="11"/>
        <v>0</v>
      </c>
    </row>
    <row r="38" spans="2:11" x14ac:dyDescent="0.35">
      <c r="B38" s="208"/>
      <c r="C38" s="107" t="s">
        <v>7</v>
      </c>
      <c r="D38" s="65"/>
      <c r="E38" s="11"/>
      <c r="F38" s="11"/>
      <c r="G38" s="44"/>
      <c r="H38" s="11"/>
      <c r="I38" s="122">
        <f>'Input Data'!$C$90/100/12</f>
        <v>4.5750000000000001E-3</v>
      </c>
      <c r="J38" s="112">
        <f t="shared" si="12"/>
        <v>0</v>
      </c>
      <c r="K38" s="69">
        <f t="shared" si="11"/>
        <v>0</v>
      </c>
    </row>
    <row r="39" spans="2:11" x14ac:dyDescent="0.35">
      <c r="B39" s="208"/>
      <c r="C39" s="107" t="s">
        <v>8</v>
      </c>
      <c r="D39" s="65"/>
      <c r="E39" s="11"/>
      <c r="F39" s="11"/>
      <c r="G39" s="44"/>
      <c r="H39" s="11"/>
      <c r="I39" s="122">
        <f>'Input Data'!$C$90/100/12</f>
        <v>4.5750000000000001E-3</v>
      </c>
      <c r="J39" s="112">
        <f t="shared" si="12"/>
        <v>0</v>
      </c>
      <c r="K39" s="69">
        <f t="shared" si="11"/>
        <v>0</v>
      </c>
    </row>
    <row r="40" spans="2:11" x14ac:dyDescent="0.35">
      <c r="B40" s="208"/>
      <c r="C40" s="107" t="s">
        <v>9</v>
      </c>
      <c r="D40" s="65"/>
      <c r="E40" s="11"/>
      <c r="F40" s="11"/>
      <c r="G40" s="44"/>
      <c r="H40" s="11"/>
      <c r="I40" s="122">
        <f>'Input Data'!$C$90/100/12</f>
        <v>4.5750000000000001E-3</v>
      </c>
      <c r="J40" s="112">
        <f t="shared" si="12"/>
        <v>0</v>
      </c>
      <c r="K40" s="69">
        <f t="shared" si="11"/>
        <v>0</v>
      </c>
    </row>
    <row r="41" spans="2:11" x14ac:dyDescent="0.35">
      <c r="B41" s="208"/>
      <c r="C41" s="107" t="s">
        <v>10</v>
      </c>
      <c r="D41" s="65"/>
      <c r="E41" s="11"/>
      <c r="F41" s="11"/>
      <c r="G41" s="44"/>
      <c r="H41" s="11"/>
      <c r="I41" s="122">
        <f>'Input Data'!$C$90/100/12</f>
        <v>4.5750000000000001E-3</v>
      </c>
      <c r="J41" s="112">
        <f t="shared" si="12"/>
        <v>0</v>
      </c>
      <c r="K41" s="69">
        <f t="shared" si="11"/>
        <v>0</v>
      </c>
    </row>
    <row r="42" spans="2:11" x14ac:dyDescent="0.35">
      <c r="B42" s="208"/>
      <c r="C42" s="107" t="s">
        <v>11</v>
      </c>
      <c r="D42" s="65"/>
      <c r="E42" s="11"/>
      <c r="F42" s="11"/>
      <c r="G42" s="44"/>
      <c r="H42" s="11"/>
      <c r="I42" s="122">
        <f>'Input Data'!$C$90/100/12</f>
        <v>4.5750000000000001E-3</v>
      </c>
      <c r="J42" s="112">
        <f t="shared" si="12"/>
        <v>0</v>
      </c>
      <c r="K42" s="69">
        <f t="shared" si="11"/>
        <v>0</v>
      </c>
    </row>
    <row r="43" spans="2:11" ht="15" thickBot="1" x14ac:dyDescent="0.4">
      <c r="B43" s="209"/>
      <c r="C43" s="125" t="s">
        <v>14</v>
      </c>
      <c r="D43" s="129">
        <f>SUM(D31:D42)</f>
        <v>0</v>
      </c>
      <c r="E43" s="130">
        <f>SUM(E31:E42)</f>
        <v>0</v>
      </c>
      <c r="F43" s="130">
        <f>SUM(F31:F42)</f>
        <v>0</v>
      </c>
      <c r="G43" s="128">
        <f>SUM(G31:G42)</f>
        <v>0</v>
      </c>
      <c r="H43" s="131"/>
      <c r="I43" s="127"/>
      <c r="J43" s="130">
        <f>SUM(J31:J42)</f>
        <v>0</v>
      </c>
      <c r="K43" s="132">
        <f>SUM(K31:K42)</f>
        <v>0</v>
      </c>
    </row>
  </sheetData>
  <mergeCells count="4">
    <mergeCell ref="B31:B43"/>
    <mergeCell ref="C2:K2"/>
    <mergeCell ref="B5:B17"/>
    <mergeCell ref="B18:B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27B2-DE0B-4D2A-9F16-50D2874D23FD}">
  <sheetPr>
    <tabColor rgb="FFFFFF00"/>
  </sheetPr>
  <dimension ref="A1:Z83"/>
  <sheetViews>
    <sheetView zoomScaleNormal="100" workbookViewId="0">
      <selection activeCell="T64" sqref="T64"/>
    </sheetView>
  </sheetViews>
  <sheetFormatPr defaultRowHeight="14.5" x14ac:dyDescent="0.35"/>
  <cols>
    <col min="3" max="3" width="36" customWidth="1"/>
    <col min="4" max="4" width="14.453125" customWidth="1"/>
    <col min="5" max="5" width="13.26953125" customWidth="1"/>
    <col min="6" max="6" width="19.1796875" style="175" bestFit="1" customWidth="1"/>
    <col min="7" max="7" width="11.26953125" bestFit="1" customWidth="1"/>
    <col min="8" max="8" width="15" customWidth="1"/>
    <col min="9" max="9" width="12" customWidth="1"/>
    <col min="10" max="10" width="13.453125" customWidth="1"/>
    <col min="11" max="11" width="13.26953125" customWidth="1"/>
    <col min="12" max="12" width="12.81640625" customWidth="1"/>
    <col min="13" max="13" width="13" customWidth="1"/>
    <col min="14" max="14" width="14.54296875" bestFit="1" customWidth="1"/>
    <col min="15" max="15" width="14.7265625" customWidth="1"/>
    <col min="16" max="16" width="14.26953125" customWidth="1"/>
    <col min="17" max="17" width="11.54296875" customWidth="1"/>
    <col min="18" max="18" width="8.453125" bestFit="1" customWidth="1"/>
    <col min="19" max="19" width="10.1796875" customWidth="1"/>
    <col min="20" max="20" width="10.54296875" customWidth="1"/>
    <col min="22" max="22" width="10.1796875" customWidth="1"/>
    <col min="23" max="23" width="35.1796875" customWidth="1"/>
    <col min="24" max="24" width="12.7265625" customWidth="1"/>
    <col min="25" max="25" width="14.1796875" customWidth="1"/>
    <col min="26" max="26" width="84.1796875" bestFit="1" customWidth="1"/>
    <col min="27" max="27" width="27.54296875" bestFit="1" customWidth="1"/>
    <col min="28" max="28" width="21.1796875" customWidth="1"/>
  </cols>
  <sheetData>
    <row r="1" spans="2:26" ht="15" thickBot="1" x14ac:dyDescent="0.4"/>
    <row r="2" spans="2:26" ht="30" customHeight="1" thickBot="1" x14ac:dyDescent="0.4">
      <c r="C2" s="222" t="s">
        <v>96</v>
      </c>
      <c r="D2" s="222"/>
      <c r="F2" s="148" t="s">
        <v>131</v>
      </c>
      <c r="G2" s="223" t="s">
        <v>221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5"/>
    </row>
    <row r="3" spans="2:26" ht="43.5" x14ac:dyDescent="0.35">
      <c r="G3" s="67"/>
      <c r="H3" s="79" t="s">
        <v>18</v>
      </c>
      <c r="I3" s="80" t="s">
        <v>17</v>
      </c>
      <c r="J3" s="81" t="s">
        <v>35</v>
      </c>
      <c r="K3" s="82" t="s">
        <v>16</v>
      </c>
      <c r="L3" s="230" t="s">
        <v>132</v>
      </c>
      <c r="M3" s="230" t="s">
        <v>183</v>
      </c>
      <c r="N3" s="230" t="s">
        <v>191</v>
      </c>
      <c r="O3" s="81" t="s">
        <v>34</v>
      </c>
      <c r="P3" s="82" t="s">
        <v>19</v>
      </c>
      <c r="Q3" s="80" t="s">
        <v>21</v>
      </c>
      <c r="R3" s="80" t="s">
        <v>23</v>
      </c>
      <c r="S3" s="80" t="s">
        <v>22</v>
      </c>
      <c r="T3" s="84" t="s">
        <v>95</v>
      </c>
    </row>
    <row r="4" spans="2:26" ht="15" thickBot="1" x14ac:dyDescent="0.4">
      <c r="G4" s="70"/>
      <c r="H4" s="113" t="s">
        <v>24</v>
      </c>
      <c r="I4" s="114" t="s">
        <v>25</v>
      </c>
      <c r="J4" s="115" t="s">
        <v>30</v>
      </c>
      <c r="K4" s="116" t="s">
        <v>26</v>
      </c>
      <c r="L4" s="117" t="s">
        <v>31</v>
      </c>
      <c r="M4" s="117" t="s">
        <v>32</v>
      </c>
      <c r="N4" s="117" t="s">
        <v>28</v>
      </c>
      <c r="O4" s="117" t="s">
        <v>196</v>
      </c>
      <c r="P4" s="116" t="s">
        <v>76</v>
      </c>
      <c r="Q4" s="114" t="s">
        <v>29</v>
      </c>
      <c r="R4" s="142" t="s">
        <v>77</v>
      </c>
      <c r="S4" s="114" t="s">
        <v>78</v>
      </c>
      <c r="T4" s="118"/>
    </row>
    <row r="5" spans="2:26" ht="94.5" customHeight="1" thickBot="1" x14ac:dyDescent="0.4">
      <c r="C5" s="216" t="s">
        <v>214</v>
      </c>
      <c r="D5" s="217"/>
      <c r="E5" s="218"/>
      <c r="F5" s="185" t="s">
        <v>179</v>
      </c>
      <c r="G5" s="67"/>
      <c r="H5" s="60" t="s">
        <v>220</v>
      </c>
      <c r="I5" s="61" t="s">
        <v>106</v>
      </c>
      <c r="J5" s="33" t="s">
        <v>107</v>
      </c>
      <c r="K5" s="64" t="s">
        <v>108</v>
      </c>
      <c r="L5" s="231" t="s">
        <v>109</v>
      </c>
      <c r="M5" s="231" t="s">
        <v>110</v>
      </c>
      <c r="N5" s="231" t="s">
        <v>197</v>
      </c>
      <c r="O5" s="231" t="s">
        <v>192</v>
      </c>
      <c r="P5" s="64" t="s">
        <v>111</v>
      </c>
      <c r="Q5" s="61" t="s">
        <v>112</v>
      </c>
      <c r="R5" s="147" t="s">
        <v>113</v>
      </c>
      <c r="S5" s="61" t="s">
        <v>114</v>
      </c>
      <c r="T5" s="68" t="s">
        <v>226</v>
      </c>
    </row>
    <row r="6" spans="2:26" x14ac:dyDescent="0.35">
      <c r="B6" s="207">
        <v>2019</v>
      </c>
      <c r="C6" s="108"/>
      <c r="D6" s="143"/>
      <c r="E6" s="143"/>
      <c r="F6" s="176"/>
      <c r="G6" s="107" t="s">
        <v>0</v>
      </c>
      <c r="H6" s="120">
        <f>'Input Data'!E22/1.041</f>
        <v>19069925.183679584</v>
      </c>
      <c r="I6" s="232">
        <f>E16</f>
        <v>-1.37E-2</v>
      </c>
      <c r="J6" s="63">
        <f t="shared" ref="J6:J17" si="0">H6*I6</f>
        <v>-261257.97501641032</v>
      </c>
      <c r="K6" s="119">
        <f>'Input Data'!K5</f>
        <v>177700.31999999983</v>
      </c>
      <c r="L6" s="233">
        <f t="shared" ref="L6:L17" si="1">-K6/2</f>
        <v>-88850.159999999916</v>
      </c>
      <c r="M6" s="233">
        <f t="shared" ref="M6:M17" si="2">-K6/2</f>
        <v>-88850.159999999916</v>
      </c>
      <c r="N6" s="233"/>
      <c r="O6" s="233">
        <f>M6+N6</f>
        <v>-88850.159999999916</v>
      </c>
      <c r="P6" s="65">
        <f>O6-J6</f>
        <v>172407.8150164104</v>
      </c>
      <c r="Q6" s="233">
        <f>P6</f>
        <v>172407.8150164104</v>
      </c>
      <c r="R6" s="121">
        <f>'Input Data'!$C$70/100/12</f>
        <v>2.0416666666666669E-3</v>
      </c>
      <c r="S6" s="112"/>
      <c r="T6" s="154"/>
    </row>
    <row r="7" spans="2:26" x14ac:dyDescent="0.35">
      <c r="B7" s="208"/>
      <c r="C7" s="67"/>
      <c r="D7" s="175" t="s">
        <v>198</v>
      </c>
      <c r="G7" s="107" t="s">
        <v>1</v>
      </c>
      <c r="H7" s="120">
        <f>'Input Data'!E23/1.041</f>
        <v>17219795.464896359</v>
      </c>
      <c r="I7" s="232">
        <f t="shared" ref="I7:I17" si="3">I6</f>
        <v>-1.37E-2</v>
      </c>
      <c r="J7" s="63">
        <f t="shared" si="0"/>
        <v>-235911.19786908012</v>
      </c>
      <c r="K7" s="119">
        <f>'Input Data'!K6</f>
        <v>223295.19999999995</v>
      </c>
      <c r="L7" s="233">
        <f t="shared" si="1"/>
        <v>-111647.59999999998</v>
      </c>
      <c r="M7" s="233">
        <f t="shared" si="2"/>
        <v>-111647.59999999998</v>
      </c>
      <c r="N7" s="233"/>
      <c r="O7" s="233">
        <f t="shared" ref="O7:O17" si="4">M7+N7</f>
        <v>-111647.59999999998</v>
      </c>
      <c r="P7" s="65">
        <f t="shared" ref="P7:P17" si="5">O7-J7</f>
        <v>124263.59786908014</v>
      </c>
      <c r="Q7" s="233">
        <f t="shared" ref="Q7:Q17" si="6">P7+Q6</f>
        <v>296671.41288549057</v>
      </c>
      <c r="R7" s="121">
        <f>'Input Data'!$C$70/100/12</f>
        <v>2.0416666666666669E-3</v>
      </c>
      <c r="S7" s="112">
        <f>Q6*R7</f>
        <v>351.99928899183794</v>
      </c>
      <c r="T7" s="154"/>
      <c r="V7" s="210" t="s">
        <v>104</v>
      </c>
      <c r="W7" s="18"/>
      <c r="X7" s="18"/>
      <c r="Y7" s="19"/>
    </row>
    <row r="8" spans="2:26" x14ac:dyDescent="0.35">
      <c r="B8" s="208"/>
      <c r="C8" s="107" t="s">
        <v>89</v>
      </c>
      <c r="D8" s="124">
        <f>'Input Data'!I57</f>
        <v>47853390</v>
      </c>
      <c r="F8" s="179" t="s">
        <v>163</v>
      </c>
      <c r="G8" s="107" t="s">
        <v>2</v>
      </c>
      <c r="H8" s="120">
        <f>'Input Data'!E24/1.041</f>
        <v>16475481.717630252</v>
      </c>
      <c r="I8" s="232">
        <f t="shared" si="3"/>
        <v>-1.37E-2</v>
      </c>
      <c r="J8" s="63">
        <f t="shared" si="0"/>
        <v>-225714.09953153445</v>
      </c>
      <c r="K8" s="119">
        <f>'Input Data'!K7</f>
        <v>360251.28</v>
      </c>
      <c r="L8" s="233">
        <f t="shared" si="1"/>
        <v>-180125.64</v>
      </c>
      <c r="M8" s="233">
        <f t="shared" si="2"/>
        <v>-180125.64</v>
      </c>
      <c r="N8" s="233"/>
      <c r="O8" s="233">
        <f t="shared" si="4"/>
        <v>-180125.64</v>
      </c>
      <c r="P8" s="65">
        <f>O8-J8</f>
        <v>45588.459531534434</v>
      </c>
      <c r="Q8" s="233">
        <f>P8+Q7</f>
        <v>342259.87241702504</v>
      </c>
      <c r="R8" s="121">
        <f>'Input Data'!$C$70/100/12</f>
        <v>2.0416666666666669E-3</v>
      </c>
      <c r="S8" s="112">
        <f t="shared" ref="S8:S17" si="7">Q7*R8</f>
        <v>605.70413464120998</v>
      </c>
      <c r="T8" s="154"/>
      <c r="V8" s="211"/>
      <c r="W8" t="s">
        <v>105</v>
      </c>
      <c r="Y8" s="44">
        <f>K18</f>
        <v>3290512.7</v>
      </c>
      <c r="Z8" t="s">
        <v>115</v>
      </c>
    </row>
    <row r="9" spans="2:26" x14ac:dyDescent="0.35">
      <c r="B9" s="208"/>
      <c r="C9" s="107" t="s">
        <v>126</v>
      </c>
      <c r="D9" s="123">
        <f>'Input Data'!C61/1000</f>
        <v>0.10222000000000001</v>
      </c>
      <c r="F9" s="179" t="s">
        <v>169</v>
      </c>
      <c r="G9" s="107" t="s">
        <v>3</v>
      </c>
      <c r="H9" s="120">
        <f>'Input Data'!E25/1.041</f>
        <v>13659463.749534657</v>
      </c>
      <c r="I9" s="232">
        <f t="shared" si="3"/>
        <v>-1.37E-2</v>
      </c>
      <c r="J9" s="63">
        <f t="shared" si="0"/>
        <v>-187134.6533686248</v>
      </c>
      <c r="K9" s="119">
        <f>'Input Data'!K8</f>
        <v>266630.83000000007</v>
      </c>
      <c r="L9" s="233">
        <f t="shared" si="1"/>
        <v>-133315.41500000004</v>
      </c>
      <c r="M9" s="233">
        <f t="shared" si="2"/>
        <v>-133315.41500000004</v>
      </c>
      <c r="N9" s="233"/>
      <c r="O9" s="233">
        <f t="shared" si="4"/>
        <v>-133315.41500000004</v>
      </c>
      <c r="P9" s="65">
        <f t="shared" si="5"/>
        <v>53819.238368624763</v>
      </c>
      <c r="Q9" s="233">
        <f t="shared" si="6"/>
        <v>396079.1107856498</v>
      </c>
      <c r="R9" s="121">
        <f>'Input Data'!$C$71/100/12</f>
        <v>1.8166666666666667E-3</v>
      </c>
      <c r="S9" s="112">
        <f t="shared" si="7"/>
        <v>621.77210155759553</v>
      </c>
      <c r="T9" s="154"/>
      <c r="V9" s="211"/>
      <c r="W9" t="s">
        <v>103</v>
      </c>
      <c r="Y9" s="44">
        <f>L18</f>
        <v>-1645256.35</v>
      </c>
      <c r="Z9" t="s">
        <v>33</v>
      </c>
    </row>
    <row r="10" spans="2:26" x14ac:dyDescent="0.35">
      <c r="B10" s="208"/>
      <c r="C10" s="107" t="s">
        <v>148</v>
      </c>
      <c r="D10" s="4">
        <f>D8*D9</f>
        <v>4891573.5257999999</v>
      </c>
      <c r="F10" s="179"/>
      <c r="G10" s="107" t="s">
        <v>4</v>
      </c>
      <c r="H10" s="120">
        <f>'Input Data'!E26/1.041</f>
        <v>13307088.206109205</v>
      </c>
      <c r="I10" s="234">
        <f t="shared" si="3"/>
        <v>-1.37E-2</v>
      </c>
      <c r="J10" s="63">
        <f t="shared" si="0"/>
        <v>-182307.1084236961</v>
      </c>
      <c r="K10" s="119">
        <f>'Input Data'!K9</f>
        <v>72258.729999999981</v>
      </c>
      <c r="L10" s="233">
        <f t="shared" si="1"/>
        <v>-36129.364999999991</v>
      </c>
      <c r="M10" s="233">
        <f t="shared" si="2"/>
        <v>-36129.364999999991</v>
      </c>
      <c r="N10" s="233"/>
      <c r="O10" s="44">
        <f>M10+N10</f>
        <v>-36129.364999999991</v>
      </c>
      <c r="P10" s="65">
        <f>O10-J10</f>
        <v>146177.74342369611</v>
      </c>
      <c r="Q10" s="233">
        <f>P10+Q9</f>
        <v>542256.85420934588</v>
      </c>
      <c r="R10" s="121">
        <f>'Input Data'!$C$71/100/12</f>
        <v>1.8166666666666667E-3</v>
      </c>
      <c r="S10" s="112">
        <f t="shared" si="7"/>
        <v>719.54371792726386</v>
      </c>
      <c r="T10" s="154"/>
      <c r="U10" s="11"/>
      <c r="V10" s="211"/>
      <c r="W10" t="s">
        <v>72</v>
      </c>
      <c r="X10" s="11">
        <f>M18</f>
        <v>-1645256.35</v>
      </c>
      <c r="Y10" s="21"/>
      <c r="Z10" t="s">
        <v>116</v>
      </c>
    </row>
    <row r="11" spans="2:26" x14ac:dyDescent="0.35">
      <c r="B11" s="208"/>
      <c r="C11" s="107" t="s">
        <v>149</v>
      </c>
      <c r="E11" s="112">
        <f>D10/2</f>
        <v>2445786.7629</v>
      </c>
      <c r="F11" s="179" t="s">
        <v>168</v>
      </c>
      <c r="G11" s="107" t="s">
        <v>5</v>
      </c>
      <c r="H11" s="120">
        <f>'Input Data'!E27/1.041</f>
        <v>14083886.084421083</v>
      </c>
      <c r="I11" s="234">
        <f t="shared" si="3"/>
        <v>-1.37E-2</v>
      </c>
      <c r="J11" s="63">
        <f t="shared" si="0"/>
        <v>-192949.23935656884</v>
      </c>
      <c r="K11" s="119">
        <f>'Input Data'!K10</f>
        <v>335810.2100000002</v>
      </c>
      <c r="L11" s="233">
        <f>-K11/2</f>
        <v>-167905.1050000001</v>
      </c>
      <c r="M11" s="233">
        <f>-K11/2</f>
        <v>-167905.1050000001</v>
      </c>
      <c r="N11" s="233"/>
      <c r="O11" s="44">
        <f t="shared" si="4"/>
        <v>-167905.1050000001</v>
      </c>
      <c r="P11" s="65">
        <f t="shared" si="5"/>
        <v>25044.134356568742</v>
      </c>
      <c r="Q11" s="233">
        <f>P11+Q10</f>
        <v>567300.98856591457</v>
      </c>
      <c r="R11" s="121">
        <f>'Input Data'!$C$71/100/12</f>
        <v>1.8166666666666667E-3</v>
      </c>
      <c r="S11" s="112">
        <f t="shared" si="7"/>
        <v>985.09995181364502</v>
      </c>
      <c r="T11" s="154"/>
      <c r="U11" s="11"/>
      <c r="V11" s="211"/>
      <c r="W11" t="s">
        <v>73</v>
      </c>
      <c r="X11" s="40"/>
      <c r="Y11" s="21"/>
      <c r="Z11" t="s">
        <v>223</v>
      </c>
    </row>
    <row r="12" spans="2:26" x14ac:dyDescent="0.35">
      <c r="B12" s="208"/>
      <c r="C12" s="67" t="s">
        <v>203</v>
      </c>
      <c r="E12" s="26">
        <f>E11</f>
        <v>2445786.7629</v>
      </c>
      <c r="F12" s="179"/>
      <c r="G12" s="107" t="s">
        <v>6</v>
      </c>
      <c r="H12" s="120">
        <f>'Input Data'!E28/1.041</f>
        <v>15933659.529053895</v>
      </c>
      <c r="I12" s="234">
        <f t="shared" si="3"/>
        <v>-1.37E-2</v>
      </c>
      <c r="J12" s="63">
        <f t="shared" si="0"/>
        <v>-218291.13554803838</v>
      </c>
      <c r="K12" s="119">
        <f>'Input Data'!K11</f>
        <v>354615.79000000004</v>
      </c>
      <c r="L12" s="233">
        <f t="shared" si="1"/>
        <v>-177307.89500000002</v>
      </c>
      <c r="M12" s="233">
        <f t="shared" si="2"/>
        <v>-177307.89500000002</v>
      </c>
      <c r="N12" s="233"/>
      <c r="O12" s="44">
        <f t="shared" si="4"/>
        <v>-177307.89500000002</v>
      </c>
      <c r="P12" s="65">
        <f t="shared" si="5"/>
        <v>40983.24054803836</v>
      </c>
      <c r="Q12" s="233">
        <f>P12+Q11</f>
        <v>608284.22911395296</v>
      </c>
      <c r="R12" s="121">
        <f>'Input Data'!$C$72/100/12</f>
        <v>1.8166666666666667E-3</v>
      </c>
      <c r="S12" s="112">
        <f t="shared" si="7"/>
        <v>1030.5967958947449</v>
      </c>
      <c r="T12" s="154"/>
      <c r="U12" s="11"/>
      <c r="V12" s="211"/>
      <c r="W12" t="s">
        <v>34</v>
      </c>
      <c r="Y12" s="44">
        <f>X11+X10</f>
        <v>-1645256.35</v>
      </c>
      <c r="Z12" t="s">
        <v>117</v>
      </c>
    </row>
    <row r="13" spans="2:26" x14ac:dyDescent="0.35">
      <c r="B13" s="208"/>
      <c r="G13" s="107" t="s">
        <v>7</v>
      </c>
      <c r="H13" s="120">
        <f>'Input Data'!E29/1.041</f>
        <v>15772699.294125771</v>
      </c>
      <c r="I13" s="234">
        <f t="shared" si="3"/>
        <v>-1.37E-2</v>
      </c>
      <c r="J13" s="63">
        <f t="shared" si="0"/>
        <v>-216085.98032952307</v>
      </c>
      <c r="K13" s="119">
        <f>'Input Data'!K12</f>
        <v>445957.5</v>
      </c>
      <c r="L13" s="233">
        <f t="shared" si="1"/>
        <v>-222978.75</v>
      </c>
      <c r="M13" s="233">
        <f t="shared" si="2"/>
        <v>-222978.75</v>
      </c>
      <c r="N13" s="233"/>
      <c r="O13" s="44">
        <f t="shared" si="4"/>
        <v>-222978.75</v>
      </c>
      <c r="P13" s="65">
        <f t="shared" si="5"/>
        <v>-6892.7696704769332</v>
      </c>
      <c r="Q13" s="233">
        <f>P13+Q12</f>
        <v>601391.45944347605</v>
      </c>
      <c r="R13" s="121">
        <f>'Input Data'!$C$72/100/12</f>
        <v>1.8166666666666667E-3</v>
      </c>
      <c r="S13" s="112">
        <f t="shared" si="7"/>
        <v>1105.0496828903479</v>
      </c>
      <c r="T13" s="154"/>
      <c r="U13" s="11"/>
      <c r="V13" s="211"/>
      <c r="W13" t="s">
        <v>35</v>
      </c>
      <c r="Y13" s="72">
        <f>J18</f>
        <v>-2530251.0200144099</v>
      </c>
      <c r="Z13" t="s">
        <v>204</v>
      </c>
    </row>
    <row r="14" spans="2:26" x14ac:dyDescent="0.35">
      <c r="B14" s="208"/>
      <c r="C14" s="107" t="s">
        <v>128</v>
      </c>
      <c r="D14" s="124">
        <f>'Input Data'!C39</f>
        <v>177934181</v>
      </c>
      <c r="F14" s="179" t="s">
        <v>164</v>
      </c>
      <c r="G14" s="107" t="s">
        <v>8</v>
      </c>
      <c r="H14" s="120">
        <f>'Input Data'!E30/1.041</f>
        <v>12756498.432708433</v>
      </c>
      <c r="I14" s="234">
        <f t="shared" si="3"/>
        <v>-1.37E-2</v>
      </c>
      <c r="J14" s="63">
        <f t="shared" si="0"/>
        <v>-174764.02852810553</v>
      </c>
      <c r="K14" s="119">
        <f>'Input Data'!K13</f>
        <v>329192.87999999989</v>
      </c>
      <c r="L14" s="233">
        <f t="shared" si="1"/>
        <v>-164596.43999999994</v>
      </c>
      <c r="M14" s="233">
        <f t="shared" si="2"/>
        <v>-164596.43999999994</v>
      </c>
      <c r="N14" s="233"/>
      <c r="O14" s="44">
        <f t="shared" si="4"/>
        <v>-164596.43999999994</v>
      </c>
      <c r="P14" s="65">
        <f t="shared" si="5"/>
        <v>10167.588528105582</v>
      </c>
      <c r="Q14" s="233">
        <f t="shared" si="6"/>
        <v>611559.04797158157</v>
      </c>
      <c r="R14" s="121">
        <f>'Input Data'!$C$72/100/12</f>
        <v>1.8166666666666667E-3</v>
      </c>
      <c r="S14" s="112">
        <f t="shared" si="7"/>
        <v>1092.5278179889815</v>
      </c>
      <c r="T14" s="154"/>
      <c r="U14" s="11"/>
      <c r="V14" s="211"/>
      <c r="W14" t="s">
        <v>19</v>
      </c>
      <c r="Y14" s="85">
        <f>Y12-Y13</f>
        <v>884994.67001440981</v>
      </c>
      <c r="Z14" t="s">
        <v>224</v>
      </c>
    </row>
    <row r="15" spans="2:26" x14ac:dyDescent="0.35">
      <c r="B15" s="208"/>
      <c r="C15" s="107"/>
      <c r="D15" s="4"/>
      <c r="F15" s="179"/>
      <c r="G15" s="107" t="s">
        <v>9</v>
      </c>
      <c r="H15" s="120">
        <f>'Input Data'!E31/1.041</f>
        <v>13524708.567799423</v>
      </c>
      <c r="I15" s="234">
        <f t="shared" si="3"/>
        <v>-1.37E-2</v>
      </c>
      <c r="J15" s="63">
        <f t="shared" si="0"/>
        <v>-185288.50737885211</v>
      </c>
      <c r="K15" s="119">
        <f>'Input Data'!K14</f>
        <v>388762.34999999986</v>
      </c>
      <c r="L15" s="233">
        <f t="shared" si="1"/>
        <v>-194381.17499999993</v>
      </c>
      <c r="M15" s="233">
        <f t="shared" si="2"/>
        <v>-194381.17499999993</v>
      </c>
      <c r="N15" s="233"/>
      <c r="O15" s="44">
        <f t="shared" si="4"/>
        <v>-194381.17499999993</v>
      </c>
      <c r="P15" s="65">
        <f t="shared" si="5"/>
        <v>-9092.6676211478189</v>
      </c>
      <c r="Q15" s="233">
        <f t="shared" si="6"/>
        <v>602466.38035043376</v>
      </c>
      <c r="R15" s="121">
        <f>'Input Data'!$C$73/100/12</f>
        <v>1.8166666666666667E-3</v>
      </c>
      <c r="S15" s="112">
        <f t="shared" si="7"/>
        <v>1110.9989371483732</v>
      </c>
      <c r="T15" s="154"/>
      <c r="U15" s="11"/>
      <c r="V15" s="211"/>
      <c r="W15" t="s">
        <v>36</v>
      </c>
      <c r="Y15" s="44">
        <f>S18+T31</f>
        <v>22220.647145703922</v>
      </c>
      <c r="Z15" t="s">
        <v>225</v>
      </c>
    </row>
    <row r="16" spans="2:26" x14ac:dyDescent="0.35">
      <c r="B16" s="208"/>
      <c r="C16" s="67" t="s">
        <v>209</v>
      </c>
      <c r="E16" s="25">
        <f>ROUND(-E12/D14,4)</f>
        <v>-1.37E-2</v>
      </c>
      <c r="F16" s="179"/>
      <c r="G16" s="107" t="s">
        <v>10</v>
      </c>
      <c r="H16" s="120">
        <f>'Input Data'!E32/1.041</f>
        <v>15105118.179677669</v>
      </c>
      <c r="I16" s="234">
        <f t="shared" si="3"/>
        <v>-1.37E-2</v>
      </c>
      <c r="J16" s="63">
        <f t="shared" si="0"/>
        <v>-206940.11906158406</v>
      </c>
      <c r="K16" s="119">
        <f>'Input Data'!K15</f>
        <v>149971.81000000006</v>
      </c>
      <c r="L16" s="233">
        <f t="shared" si="1"/>
        <v>-74985.905000000028</v>
      </c>
      <c r="M16" s="233">
        <f t="shared" si="2"/>
        <v>-74985.905000000028</v>
      </c>
      <c r="N16" s="233"/>
      <c r="O16" s="44">
        <f t="shared" si="4"/>
        <v>-74985.905000000028</v>
      </c>
      <c r="P16" s="65">
        <f t="shared" si="5"/>
        <v>131954.21406158403</v>
      </c>
      <c r="Q16" s="233">
        <f t="shared" si="6"/>
        <v>734420.59441201785</v>
      </c>
      <c r="R16" s="121">
        <f>'Input Data'!$C$73/100/12</f>
        <v>1.8166666666666667E-3</v>
      </c>
      <c r="S16" s="112">
        <f t="shared" si="7"/>
        <v>1094.4805909699546</v>
      </c>
      <c r="T16" s="154"/>
      <c r="U16" s="11"/>
      <c r="V16" s="212"/>
      <c r="W16" s="23"/>
      <c r="X16" s="23"/>
      <c r="Y16" s="24"/>
    </row>
    <row r="17" spans="1:26" x14ac:dyDescent="0.35">
      <c r="B17" s="208"/>
      <c r="C17" s="107"/>
      <c r="F17" s="179"/>
      <c r="G17" s="107" t="s">
        <v>11</v>
      </c>
      <c r="H17" s="120">
        <f>'Input Data'!E33/1.041</f>
        <v>17781531.065868024</v>
      </c>
      <c r="I17" s="234">
        <f t="shared" si="3"/>
        <v>-1.37E-2</v>
      </c>
      <c r="J17" s="63">
        <f t="shared" si="0"/>
        <v>-243606.97560239193</v>
      </c>
      <c r="K17" s="119">
        <f>'Input Data'!K16</f>
        <v>186065.80000000005</v>
      </c>
      <c r="L17" s="233">
        <f t="shared" si="1"/>
        <v>-93032.900000000023</v>
      </c>
      <c r="M17" s="233">
        <f t="shared" si="2"/>
        <v>-93032.900000000023</v>
      </c>
      <c r="N17" s="233"/>
      <c r="O17" s="44">
        <f t="shared" si="4"/>
        <v>-93032.900000000023</v>
      </c>
      <c r="P17" s="65">
        <f t="shared" si="5"/>
        <v>150574.07560239191</v>
      </c>
      <c r="Q17" s="233">
        <f t="shared" si="6"/>
        <v>884994.67001440981</v>
      </c>
      <c r="R17" s="121">
        <f>'Input Data'!$C$73/100/12</f>
        <v>1.8166666666666667E-3</v>
      </c>
      <c r="S17" s="112">
        <f t="shared" si="7"/>
        <v>1334.1974131818324</v>
      </c>
      <c r="T17" s="154"/>
      <c r="U17" s="11"/>
    </row>
    <row r="18" spans="1:26" ht="15" thickBot="1" x14ac:dyDescent="0.4">
      <c r="B18" s="209"/>
      <c r="C18" s="144"/>
      <c r="D18" s="145"/>
      <c r="E18" s="145"/>
      <c r="F18" s="180"/>
      <c r="G18" s="125" t="s">
        <v>14</v>
      </c>
      <c r="H18" s="126">
        <f>SUM(H6:H17)</f>
        <v>184689855.47550434</v>
      </c>
      <c r="I18" s="127"/>
      <c r="J18" s="128">
        <f t="shared" ref="J18:P18" si="8">SUM(J6:J17)</f>
        <v>-2530251.0200144099</v>
      </c>
      <c r="K18" s="129">
        <f t="shared" si="8"/>
        <v>3290512.7</v>
      </c>
      <c r="L18" s="130">
        <f t="shared" si="8"/>
        <v>-1645256.35</v>
      </c>
      <c r="M18" s="130">
        <f t="shared" si="8"/>
        <v>-1645256.35</v>
      </c>
      <c r="N18" s="130">
        <f t="shared" si="8"/>
        <v>0</v>
      </c>
      <c r="O18" s="128">
        <f t="shared" si="8"/>
        <v>-1645256.35</v>
      </c>
      <c r="P18" s="129">
        <f t="shared" si="8"/>
        <v>884994.67001440981</v>
      </c>
      <c r="Q18" s="131"/>
      <c r="R18" s="127"/>
      <c r="S18" s="130">
        <f>SUM(S6:S17)</f>
        <v>10051.970433005787</v>
      </c>
      <c r="T18" s="183"/>
      <c r="U18" s="12"/>
    </row>
    <row r="19" spans="1:26" x14ac:dyDescent="0.35">
      <c r="B19" s="207">
        <v>2020</v>
      </c>
      <c r="C19" s="108"/>
      <c r="D19" s="143"/>
      <c r="E19" s="143"/>
      <c r="F19" s="181"/>
      <c r="G19" s="107" t="s">
        <v>0</v>
      </c>
      <c r="H19" s="120">
        <f>'Input Data'!F22/1.041</f>
        <v>17802785.360230546</v>
      </c>
      <c r="I19" s="234">
        <f>E16</f>
        <v>-1.37E-2</v>
      </c>
      <c r="J19" s="63">
        <f t="shared" ref="J19:J30" si="9">H19*I19</f>
        <v>-243898.15943515848</v>
      </c>
      <c r="K19" s="119">
        <f>'Input Data'!N5</f>
        <v>213758.76</v>
      </c>
      <c r="L19" s="233">
        <f t="shared" ref="L19:L30" si="10">-K19/2</f>
        <v>-106879.38</v>
      </c>
      <c r="M19" s="233">
        <f t="shared" ref="M19:M30" si="11">-K19/2</f>
        <v>-106879.38</v>
      </c>
      <c r="N19" s="233"/>
      <c r="O19" s="44">
        <f t="shared" ref="O19:O30" si="12">M19+N19</f>
        <v>-106879.38</v>
      </c>
      <c r="P19" s="65">
        <f t="shared" ref="P19:P30" si="13">O19-J19</f>
        <v>137018.77943515847</v>
      </c>
      <c r="Q19" s="233">
        <f>P19</f>
        <v>137018.77943515847</v>
      </c>
      <c r="R19" s="121">
        <f>'Input Data'!$C$74/100/12</f>
        <v>1.8166666666666667E-3</v>
      </c>
      <c r="S19" s="112"/>
      <c r="T19" s="154">
        <f>$P$18*R19</f>
        <v>1607.7403171928445</v>
      </c>
      <c r="U19" s="11"/>
    </row>
    <row r="20" spans="1:26" x14ac:dyDescent="0.35">
      <c r="B20" s="208"/>
      <c r="C20" s="107" t="s">
        <v>89</v>
      </c>
      <c r="D20" s="124">
        <f>'Input Data'!J57</f>
        <v>44476067</v>
      </c>
      <c r="F20" s="179" t="s">
        <v>163</v>
      </c>
      <c r="G20" s="107" t="s">
        <v>1</v>
      </c>
      <c r="H20" s="120">
        <f>'Input Data'!F23/1.041</f>
        <v>16447717.857829006</v>
      </c>
      <c r="I20" s="234">
        <f>I19</f>
        <v>-1.37E-2</v>
      </c>
      <c r="J20" s="63">
        <f t="shared" si="9"/>
        <v>-225333.73465225741</v>
      </c>
      <c r="K20" s="119">
        <f>'Input Data'!N6</f>
        <v>191369.26</v>
      </c>
      <c r="L20" s="233">
        <f t="shared" si="10"/>
        <v>-95684.63</v>
      </c>
      <c r="M20" s="233">
        <f t="shared" si="11"/>
        <v>-95684.63</v>
      </c>
      <c r="N20" s="233"/>
      <c r="O20" s="44">
        <f t="shared" si="12"/>
        <v>-95684.63</v>
      </c>
      <c r="P20" s="65">
        <f t="shared" si="13"/>
        <v>129649.1046522574</v>
      </c>
      <c r="Q20" s="233">
        <f t="shared" ref="Q20:Q30" si="14">P20+Q19</f>
        <v>266667.88408741588</v>
      </c>
      <c r="R20" s="121">
        <f>'Input Data'!$C$74/100/12</f>
        <v>1.8166666666666667E-3</v>
      </c>
      <c r="S20" s="112">
        <f>Q19*R20</f>
        <v>248.91744930720458</v>
      </c>
      <c r="T20" s="154">
        <f t="shared" ref="T20:T30" si="15">$P$18*R20</f>
        <v>1607.7403171928445</v>
      </c>
      <c r="U20" s="11"/>
      <c r="V20" s="210" t="s">
        <v>104</v>
      </c>
      <c r="W20" s="18"/>
      <c r="X20" s="18"/>
      <c r="Y20" s="19"/>
    </row>
    <row r="21" spans="1:26" x14ac:dyDescent="0.35">
      <c r="B21" s="208"/>
      <c r="C21" s="107" t="s">
        <v>126</v>
      </c>
      <c r="D21" s="123">
        <f>'Input Data'!C62/1000</f>
        <v>0.10693999999999999</v>
      </c>
      <c r="F21" s="179" t="s">
        <v>170</v>
      </c>
      <c r="G21" s="107" t="s">
        <v>2</v>
      </c>
      <c r="H21" s="120">
        <f>'Input Data'!F24/1.041</f>
        <v>15617253.246878004</v>
      </c>
      <c r="I21" s="234">
        <f>I20</f>
        <v>-1.37E-2</v>
      </c>
      <c r="J21" s="63">
        <f t="shared" si="9"/>
        <v>-213956.36948222865</v>
      </c>
      <c r="K21" s="119">
        <f>'Input Data'!N7</f>
        <v>385004.1100000001</v>
      </c>
      <c r="L21" s="233">
        <f t="shared" si="10"/>
        <v>-192502.05500000005</v>
      </c>
      <c r="M21" s="233">
        <f t="shared" si="11"/>
        <v>-192502.05500000005</v>
      </c>
      <c r="N21" s="233"/>
      <c r="O21" s="44">
        <f t="shared" si="12"/>
        <v>-192502.05500000005</v>
      </c>
      <c r="P21" s="65">
        <f t="shared" si="13"/>
        <v>21454.314482228598</v>
      </c>
      <c r="Q21" s="233">
        <f t="shared" si="14"/>
        <v>288122.19856964448</v>
      </c>
      <c r="R21" s="121">
        <f>'Input Data'!$C$74/100/12</f>
        <v>1.8166666666666667E-3</v>
      </c>
      <c r="S21" s="112">
        <f t="shared" ref="S21:S24" si="16">Q20*R21</f>
        <v>484.44665609213888</v>
      </c>
      <c r="T21" s="154">
        <f t="shared" si="15"/>
        <v>1607.7403171928445</v>
      </c>
      <c r="U21" s="11"/>
      <c r="V21" s="211"/>
      <c r="W21" t="s">
        <v>105</v>
      </c>
      <c r="Y21" s="44">
        <f>K31</f>
        <v>4874784.58</v>
      </c>
      <c r="Z21" t="s">
        <v>115</v>
      </c>
    </row>
    <row r="22" spans="1:26" x14ac:dyDescent="0.35">
      <c r="B22" s="208"/>
      <c r="C22" s="107" t="s">
        <v>148</v>
      </c>
      <c r="D22" s="4">
        <f>D20*D21</f>
        <v>4756270.6049799994</v>
      </c>
      <c r="F22" s="179"/>
      <c r="G22" s="107" t="s">
        <v>3</v>
      </c>
      <c r="H22" s="120">
        <f>'Input Data'!F25/1.041</f>
        <v>13611107.444764651</v>
      </c>
      <c r="I22" s="234">
        <f>I21</f>
        <v>-1.37E-2</v>
      </c>
      <c r="J22" s="63">
        <f t="shared" si="9"/>
        <v>-186472.17199327573</v>
      </c>
      <c r="K22" s="119">
        <f>'Input Data'!N8</f>
        <v>500417.89000000013</v>
      </c>
      <c r="L22" s="233">
        <f t="shared" si="10"/>
        <v>-250208.94500000007</v>
      </c>
      <c r="M22" s="233">
        <f t="shared" si="11"/>
        <v>-250208.94500000007</v>
      </c>
      <c r="N22" s="233"/>
      <c r="O22" s="44">
        <f t="shared" si="12"/>
        <v>-250208.94500000007</v>
      </c>
      <c r="P22" s="65">
        <f t="shared" si="13"/>
        <v>-63736.773006724339</v>
      </c>
      <c r="Q22" s="233">
        <f t="shared" si="14"/>
        <v>224385.42556292014</v>
      </c>
      <c r="R22" s="121">
        <f>'Input Data'!$C$75/100/12</f>
        <v>1.8166666666666667E-3</v>
      </c>
      <c r="S22" s="112">
        <f t="shared" si="16"/>
        <v>523.42199406818747</v>
      </c>
      <c r="T22" s="154">
        <f t="shared" si="15"/>
        <v>1607.7403171928445</v>
      </c>
      <c r="U22" s="11"/>
      <c r="V22" s="211"/>
      <c r="W22" t="s">
        <v>103</v>
      </c>
      <c r="Y22" s="44">
        <f>L31</f>
        <v>-2437392.29</v>
      </c>
      <c r="Z22" t="s">
        <v>33</v>
      </c>
    </row>
    <row r="23" spans="1:26" x14ac:dyDescent="0.35">
      <c r="B23" s="208"/>
      <c r="C23" s="107" t="s">
        <v>149</v>
      </c>
      <c r="E23" s="4">
        <f>D22/2</f>
        <v>2378135.3024899997</v>
      </c>
      <c r="F23" s="179" t="s">
        <v>168</v>
      </c>
      <c r="G23" s="107" t="s">
        <v>4</v>
      </c>
      <c r="H23" s="120">
        <f>'Input Data'!F26/1.041</f>
        <v>13046327.973102788</v>
      </c>
      <c r="I23" s="234">
        <f>E30</f>
        <v>-1.2800000000000001E-2</v>
      </c>
      <c r="J23" s="63">
        <f t="shared" si="9"/>
        <v>-166992.9980557157</v>
      </c>
      <c r="K23" s="119">
        <f>'Input Data'!N9</f>
        <v>643061.80000000005</v>
      </c>
      <c r="L23" s="233">
        <f t="shared" si="10"/>
        <v>-321530.90000000002</v>
      </c>
      <c r="M23" s="233">
        <f t="shared" si="11"/>
        <v>-321530.90000000002</v>
      </c>
      <c r="N23" s="233"/>
      <c r="O23" s="44">
        <f t="shared" si="12"/>
        <v>-321530.90000000002</v>
      </c>
      <c r="P23" s="65">
        <f t="shared" si="13"/>
        <v>-154537.90194428433</v>
      </c>
      <c r="Q23" s="233">
        <f t="shared" si="14"/>
        <v>69847.523618635809</v>
      </c>
      <c r="R23" s="121">
        <f>'Input Data'!$C$75/100/12</f>
        <v>1.8166666666666667E-3</v>
      </c>
      <c r="S23" s="112">
        <f t="shared" si="16"/>
        <v>407.63352310597162</v>
      </c>
      <c r="T23" s="154">
        <f>$P$18*R23</f>
        <v>1607.7403171928445</v>
      </c>
      <c r="U23" s="11"/>
      <c r="V23" s="211"/>
      <c r="W23" t="s">
        <v>72</v>
      </c>
      <c r="X23" s="11">
        <f>M31</f>
        <v>-2437392.29</v>
      </c>
      <c r="Y23" s="21"/>
      <c r="Z23" t="s">
        <v>116</v>
      </c>
    </row>
    <row r="24" spans="1:26" x14ac:dyDescent="0.35">
      <c r="B24" s="208"/>
      <c r="C24" s="107" t="s">
        <v>129</v>
      </c>
      <c r="E24" s="4"/>
      <c r="F24" s="179"/>
      <c r="G24" s="107" t="s">
        <v>5</v>
      </c>
      <c r="H24" s="120">
        <f>'Input Data'!F27/1.041</f>
        <v>13747173.006724305</v>
      </c>
      <c r="I24" s="234">
        <f t="shared" ref="I24:I30" si="17">I23</f>
        <v>-1.2800000000000001E-2</v>
      </c>
      <c r="J24" s="63">
        <f t="shared" si="9"/>
        <v>-175963.81448607112</v>
      </c>
      <c r="K24" s="119">
        <f>'Input Data'!N10</f>
        <v>540081.22</v>
      </c>
      <c r="L24" s="233">
        <f t="shared" si="10"/>
        <v>-270040.61</v>
      </c>
      <c r="M24" s="233">
        <f t="shared" si="11"/>
        <v>-270040.61</v>
      </c>
      <c r="N24" s="233"/>
      <c r="O24" s="44">
        <f t="shared" si="12"/>
        <v>-270040.61</v>
      </c>
      <c r="P24" s="65">
        <f t="shared" si="13"/>
        <v>-94076.795513928868</v>
      </c>
      <c r="Q24" s="233">
        <f t="shared" si="14"/>
        <v>-24229.271895293059</v>
      </c>
      <c r="R24" s="121">
        <f>'Input Data'!$C$75/100/12</f>
        <v>1.8166666666666667E-3</v>
      </c>
      <c r="S24" s="112">
        <f t="shared" si="16"/>
        <v>126.8896679071884</v>
      </c>
      <c r="T24" s="154">
        <f>$P$18*R24</f>
        <v>1607.7403171928445</v>
      </c>
      <c r="U24" s="11"/>
      <c r="V24" s="211"/>
      <c r="W24" t="s">
        <v>73</v>
      </c>
      <c r="X24" s="40"/>
      <c r="Y24" s="21"/>
      <c r="Z24" t="s">
        <v>223</v>
      </c>
    </row>
    <row r="25" spans="1:26" x14ac:dyDescent="0.35">
      <c r="B25" s="208"/>
      <c r="C25" s="107" t="s">
        <v>130</v>
      </c>
      <c r="E25" s="4"/>
      <c r="F25" s="179"/>
      <c r="G25" s="107" t="s">
        <v>6</v>
      </c>
      <c r="H25" s="120">
        <f>'Input Data'!F28/1.041</f>
        <v>17000674.178674348</v>
      </c>
      <c r="I25" s="234">
        <f t="shared" si="17"/>
        <v>-1.2800000000000001E-2</v>
      </c>
      <c r="J25" s="63">
        <f t="shared" si="9"/>
        <v>-217608.62948703166</v>
      </c>
      <c r="K25" s="119">
        <f>'Input Data'!N11</f>
        <v>346027.36999999988</v>
      </c>
      <c r="L25" s="233">
        <f t="shared" si="10"/>
        <v>-173013.68499999994</v>
      </c>
      <c r="M25" s="233">
        <f t="shared" si="11"/>
        <v>-173013.68499999994</v>
      </c>
      <c r="N25" s="233"/>
      <c r="O25" s="44">
        <f t="shared" si="12"/>
        <v>-173013.68499999994</v>
      </c>
      <c r="P25" s="65">
        <f t="shared" si="13"/>
        <v>44594.944487031724</v>
      </c>
      <c r="Q25" s="233">
        <f t="shared" si="14"/>
        <v>20365.672591738665</v>
      </c>
      <c r="R25" s="121">
        <f>'Input Data'!$C$76/100/12</f>
        <v>4.7499999999999994E-4</v>
      </c>
      <c r="S25" s="112">
        <f t="shared" ref="S25:S30" si="18">Q24*R25</f>
        <v>-11.508904150264202</v>
      </c>
      <c r="T25" s="154">
        <f t="shared" si="15"/>
        <v>420.37246825684463</v>
      </c>
      <c r="U25" s="11"/>
      <c r="V25" s="211"/>
      <c r="W25" t="s">
        <v>34</v>
      </c>
      <c r="Y25" s="44">
        <f>X24+X23</f>
        <v>-2437392.29</v>
      </c>
      <c r="Z25" t="s">
        <v>117</v>
      </c>
    </row>
    <row r="26" spans="1:26" x14ac:dyDescent="0.35">
      <c r="B26" s="208"/>
      <c r="C26" s="67" t="s">
        <v>203</v>
      </c>
      <c r="E26" s="26">
        <f>SUM(E23:E25)</f>
        <v>2378135.3024899997</v>
      </c>
      <c r="F26" s="179"/>
      <c r="G26" s="107" t="s">
        <v>7</v>
      </c>
      <c r="H26" s="120">
        <f>'Input Data'!F29/1.041</f>
        <v>14580994.697406342</v>
      </c>
      <c r="I26" s="234">
        <f t="shared" si="17"/>
        <v>-1.2800000000000001E-2</v>
      </c>
      <c r="J26" s="63">
        <f t="shared" si="9"/>
        <v>-186636.73212680119</v>
      </c>
      <c r="K26" s="119">
        <f>'Input Data'!N12</f>
        <v>482319.24</v>
      </c>
      <c r="L26" s="233">
        <f t="shared" si="10"/>
        <v>-241159.62</v>
      </c>
      <c r="M26" s="233">
        <f t="shared" si="11"/>
        <v>-241159.62</v>
      </c>
      <c r="N26" s="233"/>
      <c r="O26" s="44">
        <f t="shared" si="12"/>
        <v>-241159.62</v>
      </c>
      <c r="P26" s="65">
        <f t="shared" si="13"/>
        <v>-54522.887873198808</v>
      </c>
      <c r="Q26" s="233">
        <f t="shared" si="14"/>
        <v>-34157.215281460143</v>
      </c>
      <c r="R26" s="121">
        <f>'Input Data'!$C$76/100/12</f>
        <v>4.7499999999999994E-4</v>
      </c>
      <c r="S26" s="112">
        <f t="shared" si="18"/>
        <v>9.6736944810758647</v>
      </c>
      <c r="T26" s="154">
        <f t="shared" si="15"/>
        <v>420.37246825684463</v>
      </c>
      <c r="U26" s="11"/>
      <c r="V26" s="211"/>
      <c r="W26" t="s">
        <v>35</v>
      </c>
      <c r="Y26" s="72">
        <f>J31</f>
        <v>-2350359.5619721427</v>
      </c>
      <c r="Z26" t="s">
        <v>204</v>
      </c>
    </row>
    <row r="27" spans="1:26" x14ac:dyDescent="0.35">
      <c r="B27" s="208"/>
      <c r="C27" s="107"/>
      <c r="F27" s="179"/>
      <c r="G27" s="107" t="s">
        <v>8</v>
      </c>
      <c r="H27" s="120">
        <f>'Input Data'!F30/1.041</f>
        <v>12134074.764649378</v>
      </c>
      <c r="I27" s="234">
        <f t="shared" si="17"/>
        <v>-1.2800000000000001E-2</v>
      </c>
      <c r="J27" s="63">
        <f t="shared" si="9"/>
        <v>-155316.15698751205</v>
      </c>
      <c r="K27" s="119">
        <f>'Input Data'!N13</f>
        <v>498536.58000000007</v>
      </c>
      <c r="L27" s="233">
        <f t="shared" si="10"/>
        <v>-249268.29000000004</v>
      </c>
      <c r="M27" s="233">
        <f t="shared" si="11"/>
        <v>-249268.29000000004</v>
      </c>
      <c r="N27" s="233"/>
      <c r="O27" s="44">
        <f t="shared" si="12"/>
        <v>-249268.29000000004</v>
      </c>
      <c r="P27" s="65">
        <f t="shared" si="13"/>
        <v>-93952.13301248799</v>
      </c>
      <c r="Q27" s="233">
        <f t="shared" si="14"/>
        <v>-128109.34829394813</v>
      </c>
      <c r="R27" s="121">
        <f>'Input Data'!$C$76/100/12</f>
        <v>4.7499999999999994E-4</v>
      </c>
      <c r="S27" s="112">
        <f t="shared" si="18"/>
        <v>-16.224677258693568</v>
      </c>
      <c r="T27" s="154">
        <f t="shared" si="15"/>
        <v>420.37246825684463</v>
      </c>
      <c r="U27" s="11"/>
      <c r="V27" s="211"/>
      <c r="W27" t="s">
        <v>19</v>
      </c>
      <c r="Y27" s="85">
        <f>Y25-Y26</f>
        <v>-87032.728027857374</v>
      </c>
      <c r="Z27" t="s">
        <v>118</v>
      </c>
    </row>
    <row r="28" spans="1:26" x14ac:dyDescent="0.35">
      <c r="B28" s="208"/>
      <c r="C28" s="107" t="s">
        <v>128</v>
      </c>
      <c r="D28" s="124">
        <f>'Input Data'!D39</f>
        <v>185198705</v>
      </c>
      <c r="F28" s="179" t="s">
        <v>165</v>
      </c>
      <c r="G28" s="107" t="s">
        <v>9</v>
      </c>
      <c r="H28" s="120">
        <f>'Input Data'!F31/1.041</f>
        <v>13278032.411143133</v>
      </c>
      <c r="I28" s="234">
        <f t="shared" si="17"/>
        <v>-1.2800000000000001E-2</v>
      </c>
      <c r="J28" s="63">
        <f t="shared" si="9"/>
        <v>-169958.81486263211</v>
      </c>
      <c r="K28" s="119">
        <f>'Input Data'!N14</f>
        <v>497656.53</v>
      </c>
      <c r="L28" s="233">
        <f t="shared" si="10"/>
        <v>-248828.26500000001</v>
      </c>
      <c r="M28" s="233">
        <f t="shared" si="11"/>
        <v>-248828.26500000001</v>
      </c>
      <c r="N28" s="233"/>
      <c r="O28" s="44">
        <f t="shared" si="12"/>
        <v>-248828.26500000001</v>
      </c>
      <c r="P28" s="65">
        <f t="shared" si="13"/>
        <v>-78869.450137367909</v>
      </c>
      <c r="Q28" s="233">
        <f t="shared" si="14"/>
        <v>-206978.79843131604</v>
      </c>
      <c r="R28" s="121">
        <f>'Input Data'!$C$77/100/12</f>
        <v>4.7499999999999994E-4</v>
      </c>
      <c r="S28" s="112">
        <f t="shared" si="18"/>
        <v>-60.851940439625359</v>
      </c>
      <c r="T28" s="154">
        <f t="shared" si="15"/>
        <v>420.37246825684463</v>
      </c>
      <c r="U28" s="11"/>
      <c r="V28" s="211"/>
      <c r="W28" t="s">
        <v>36</v>
      </c>
      <c r="Y28" s="44">
        <f>S31+T44</f>
        <v>1018.8116710579959</v>
      </c>
      <c r="Z28" t="s">
        <v>119</v>
      </c>
    </row>
    <row r="29" spans="1:26" x14ac:dyDescent="0.35">
      <c r="A29" s="1"/>
      <c r="B29" s="208"/>
      <c r="C29" s="67"/>
      <c r="D29" s="4"/>
      <c r="F29" s="179"/>
      <c r="G29" s="107" t="s">
        <v>10</v>
      </c>
      <c r="H29" s="120">
        <f>'Input Data'!F32/1.041</f>
        <v>14216529.558117196</v>
      </c>
      <c r="I29" s="234">
        <f t="shared" si="17"/>
        <v>-1.2800000000000001E-2</v>
      </c>
      <c r="J29" s="63">
        <f t="shared" si="9"/>
        <v>-181971.57834390012</v>
      </c>
      <c r="K29" s="119">
        <f>'Input Data'!N15</f>
        <v>367603.7200000002</v>
      </c>
      <c r="L29" s="233">
        <f t="shared" si="10"/>
        <v>-183801.8600000001</v>
      </c>
      <c r="M29" s="233">
        <f t="shared" si="11"/>
        <v>-183801.8600000001</v>
      </c>
      <c r="N29" s="233"/>
      <c r="O29" s="44">
        <f t="shared" si="12"/>
        <v>-183801.8600000001</v>
      </c>
      <c r="P29" s="65">
        <f t="shared" si="13"/>
        <v>-1830.2816560999781</v>
      </c>
      <c r="Q29" s="233">
        <f t="shared" si="14"/>
        <v>-208809.08008741602</v>
      </c>
      <c r="R29" s="121">
        <f>'Input Data'!$C$77/100/12</f>
        <v>4.7499999999999994E-4</v>
      </c>
      <c r="S29" s="112">
        <f t="shared" si="18"/>
        <v>-98.314929254875111</v>
      </c>
      <c r="T29" s="154">
        <f t="shared" si="15"/>
        <v>420.37246825684463</v>
      </c>
      <c r="U29" s="11"/>
      <c r="V29" s="212"/>
      <c r="W29" s="23"/>
      <c r="X29" s="23"/>
      <c r="Y29" s="24"/>
    </row>
    <row r="30" spans="1:26" x14ac:dyDescent="0.35">
      <c r="B30" s="208"/>
      <c r="C30" s="67" t="s">
        <v>210</v>
      </c>
      <c r="E30" s="25">
        <f>ROUND(-E26/D28,4)</f>
        <v>-1.2800000000000001E-2</v>
      </c>
      <c r="F30" s="182"/>
      <c r="G30" s="107" t="s">
        <v>11</v>
      </c>
      <c r="H30" s="120">
        <f>'Input Data'!F33/1.041</f>
        <v>17675812.660902981</v>
      </c>
      <c r="I30" s="234">
        <f t="shared" si="17"/>
        <v>-1.2800000000000001E-2</v>
      </c>
      <c r="J30" s="63">
        <f t="shared" si="9"/>
        <v>-226250.40205955817</v>
      </c>
      <c r="K30" s="119">
        <f>'Input Data'!N16</f>
        <v>208948.10000000009</v>
      </c>
      <c r="L30" s="233">
        <f t="shared" si="10"/>
        <v>-104474.05000000005</v>
      </c>
      <c r="M30" s="233">
        <f t="shared" si="11"/>
        <v>-104474.05000000005</v>
      </c>
      <c r="N30" s="233"/>
      <c r="O30" s="44">
        <f t="shared" si="12"/>
        <v>-104474.05000000005</v>
      </c>
      <c r="P30" s="65">
        <f t="shared" si="13"/>
        <v>121776.35205955812</v>
      </c>
      <c r="Q30" s="233">
        <f t="shared" si="14"/>
        <v>-87032.728027857898</v>
      </c>
      <c r="R30" s="121">
        <f>'Input Data'!$C$77/100/12</f>
        <v>4.7499999999999994E-4</v>
      </c>
      <c r="S30" s="112">
        <f t="shared" si="18"/>
        <v>-99.1843130415226</v>
      </c>
      <c r="T30" s="154">
        <f t="shared" si="15"/>
        <v>420.37246825684463</v>
      </c>
      <c r="U30" s="11"/>
    </row>
    <row r="31" spans="1:26" ht="15" thickBot="1" x14ac:dyDescent="0.4">
      <c r="B31" s="209"/>
      <c r="C31" s="144"/>
      <c r="D31" s="145"/>
      <c r="E31" s="145"/>
      <c r="F31" s="180"/>
      <c r="G31" s="125" t="s">
        <v>14</v>
      </c>
      <c r="H31" s="126">
        <f>SUM(H19:H30)</f>
        <v>179158483.16042268</v>
      </c>
      <c r="I31" s="127"/>
      <c r="J31" s="128">
        <f t="shared" ref="J31:P31" si="19">SUM(J19:J30)</f>
        <v>-2350359.5619721427</v>
      </c>
      <c r="K31" s="129">
        <f t="shared" si="19"/>
        <v>4874784.58</v>
      </c>
      <c r="L31" s="130">
        <f t="shared" si="19"/>
        <v>-2437392.29</v>
      </c>
      <c r="M31" s="130">
        <f t="shared" si="19"/>
        <v>-2437392.29</v>
      </c>
      <c r="N31" s="130">
        <f t="shared" si="19"/>
        <v>0</v>
      </c>
      <c r="O31" s="128">
        <f t="shared" si="19"/>
        <v>-2437392.29</v>
      </c>
      <c r="P31" s="129">
        <f t="shared" si="19"/>
        <v>-87032.728027857898</v>
      </c>
      <c r="Q31" s="131"/>
      <c r="R31" s="127"/>
      <c r="S31" s="130">
        <f>SUM(S19:S30)</f>
        <v>1514.8982208167859</v>
      </c>
      <c r="T31" s="183">
        <f>SUM(T19:T30)</f>
        <v>12168.676712698134</v>
      </c>
      <c r="U31" s="12"/>
    </row>
    <row r="32" spans="1:26" x14ac:dyDescent="0.35">
      <c r="B32" s="208">
        <v>2021</v>
      </c>
      <c r="C32" s="107"/>
      <c r="F32" s="179"/>
      <c r="G32" s="107" t="s">
        <v>0</v>
      </c>
      <c r="H32" s="120">
        <f>'Input Data'!G22/1.041</f>
        <v>17395082.612872239</v>
      </c>
      <c r="I32" s="234">
        <f>E30</f>
        <v>-1.2800000000000001E-2</v>
      </c>
      <c r="J32" s="63">
        <f t="shared" ref="J32:J43" si="20">H32*I32</f>
        <v>-222657.05744476468</v>
      </c>
      <c r="K32" s="119">
        <f>'Input Data'!Q5</f>
        <v>149829.71999999997</v>
      </c>
      <c r="L32" s="233">
        <f t="shared" ref="L32:L43" si="21">-K32/2</f>
        <v>-74914.859999999986</v>
      </c>
      <c r="M32" s="233">
        <f t="shared" ref="M32:M43" si="22">-K32/2</f>
        <v>-74914.859999999986</v>
      </c>
      <c r="N32" s="233"/>
      <c r="O32" s="44">
        <f t="shared" ref="O32:O43" si="23">M32+N32</f>
        <v>-74914.859999999986</v>
      </c>
      <c r="P32" s="65">
        <f t="shared" ref="P32:P43" si="24">O32-J32</f>
        <v>147742.19744476469</v>
      </c>
      <c r="Q32" s="233">
        <f>P32</f>
        <v>147742.19744476469</v>
      </c>
      <c r="R32" s="121">
        <f>'Input Data'!$C$78/100/12</f>
        <v>4.7499999999999994E-4</v>
      </c>
      <c r="S32" s="112"/>
      <c r="T32" s="154">
        <f>$P$31*R32</f>
        <v>-41.340545813232495</v>
      </c>
      <c r="U32" s="11"/>
    </row>
    <row r="33" spans="2:26" x14ac:dyDescent="0.35">
      <c r="B33" s="208"/>
      <c r="C33" s="107" t="s">
        <v>89</v>
      </c>
      <c r="D33" s="124">
        <f>'Input Data'!K57</f>
        <v>39862344.666666657</v>
      </c>
      <c r="F33" s="179" t="s">
        <v>163</v>
      </c>
      <c r="G33" s="107" t="s">
        <v>1</v>
      </c>
      <c r="H33" s="120">
        <f>'Input Data'!G23/1.041</f>
        <v>16387114.313160423</v>
      </c>
      <c r="I33" s="234">
        <f>I32</f>
        <v>-1.2800000000000001E-2</v>
      </c>
      <c r="J33" s="63">
        <f t="shared" si="20"/>
        <v>-209755.06320845342</v>
      </c>
      <c r="K33" s="119">
        <f>'Input Data'!Q6</f>
        <v>69263.969999999972</v>
      </c>
      <c r="L33" s="233">
        <f t="shared" si="21"/>
        <v>-34631.984999999986</v>
      </c>
      <c r="M33" s="233">
        <f t="shared" si="22"/>
        <v>-34631.984999999986</v>
      </c>
      <c r="N33" s="233"/>
      <c r="O33" s="44">
        <f t="shared" si="23"/>
        <v>-34631.984999999986</v>
      </c>
      <c r="P33" s="65">
        <f t="shared" si="24"/>
        <v>175123.07820845343</v>
      </c>
      <c r="Q33" s="233">
        <f t="shared" ref="Q33:Q43" si="25">P33+Q32</f>
        <v>322865.27565321815</v>
      </c>
      <c r="R33" s="121">
        <f>'Input Data'!$C$78/100/12</f>
        <v>4.7499999999999994E-4</v>
      </c>
      <c r="S33" s="112">
        <f>Q32*R33</f>
        <v>70.177543786263215</v>
      </c>
      <c r="T33" s="154">
        <f t="shared" ref="T33:T43" si="26">$P$31*R33</f>
        <v>-41.340545813232495</v>
      </c>
      <c r="U33" s="11"/>
      <c r="V33" s="210" t="s">
        <v>104</v>
      </c>
      <c r="W33" s="18"/>
      <c r="X33" s="18"/>
      <c r="Y33" s="19"/>
    </row>
    <row r="34" spans="2:26" x14ac:dyDescent="0.35">
      <c r="B34" s="208"/>
      <c r="C34" s="107" t="s">
        <v>126</v>
      </c>
      <c r="D34" s="123">
        <f>'Input Data'!C63/1000</f>
        <v>0.10947</v>
      </c>
      <c r="F34" s="179" t="s">
        <v>171</v>
      </c>
      <c r="G34" s="107" t="s">
        <v>2</v>
      </c>
      <c r="H34" s="120">
        <f>'Input Data'!G24/1.041</f>
        <v>16113559.077809799</v>
      </c>
      <c r="I34" s="234">
        <f>I33</f>
        <v>-1.2800000000000001E-2</v>
      </c>
      <c r="J34" s="63">
        <f t="shared" si="20"/>
        <v>-206253.55619596544</v>
      </c>
      <c r="K34" s="119">
        <f>'Input Data'!Q7</f>
        <v>247378.25</v>
      </c>
      <c r="L34" s="233">
        <f t="shared" si="21"/>
        <v>-123689.125</v>
      </c>
      <c r="M34" s="233">
        <f t="shared" si="22"/>
        <v>-123689.125</v>
      </c>
      <c r="N34" s="233"/>
      <c r="O34" s="44">
        <f t="shared" si="23"/>
        <v>-123689.125</v>
      </c>
      <c r="P34" s="65">
        <f t="shared" si="24"/>
        <v>82564.431195965444</v>
      </c>
      <c r="Q34" s="233">
        <f t="shared" si="25"/>
        <v>405429.7068491836</v>
      </c>
      <c r="R34" s="121">
        <f>'Input Data'!$C$78/100/12</f>
        <v>4.7499999999999994E-4</v>
      </c>
      <c r="S34" s="112">
        <f t="shared" ref="S34:S43" si="27">Q33*R34</f>
        <v>153.3610059352786</v>
      </c>
      <c r="T34" s="154">
        <f t="shared" si="26"/>
        <v>-41.340545813232495</v>
      </c>
      <c r="U34" s="11"/>
      <c r="V34" s="211"/>
      <c r="W34" t="s">
        <v>16</v>
      </c>
      <c r="Y34" s="44">
        <f>K44</f>
        <v>2678600.3299999991</v>
      </c>
      <c r="Z34" t="s">
        <v>115</v>
      </c>
    </row>
    <row r="35" spans="2:26" x14ac:dyDescent="0.35">
      <c r="B35" s="208"/>
      <c r="C35" s="107" t="s">
        <v>127</v>
      </c>
      <c r="D35" s="4">
        <f>D33*D34</f>
        <v>4363730.8706599986</v>
      </c>
      <c r="F35" s="179"/>
      <c r="G35" s="107" t="s">
        <v>3</v>
      </c>
      <c r="H35" s="120">
        <f>'Input Data'!G25/1.041</f>
        <v>12760011.834774258</v>
      </c>
      <c r="I35" s="234">
        <f>I34</f>
        <v>-1.2800000000000001E-2</v>
      </c>
      <c r="J35" s="63">
        <f t="shared" si="20"/>
        <v>-163328.15148511052</v>
      </c>
      <c r="K35" s="119">
        <f>'Input Data'!Q8</f>
        <v>480907.93000000005</v>
      </c>
      <c r="L35" s="233">
        <f t="shared" si="21"/>
        <v>-240453.96500000003</v>
      </c>
      <c r="M35" s="233">
        <f t="shared" si="22"/>
        <v>-240453.96500000003</v>
      </c>
      <c r="N35" s="233"/>
      <c r="O35" s="44">
        <f t="shared" si="23"/>
        <v>-240453.96500000003</v>
      </c>
      <c r="P35" s="65">
        <f t="shared" si="24"/>
        <v>-77125.813514889509</v>
      </c>
      <c r="Q35" s="233">
        <f t="shared" si="25"/>
        <v>328303.89333429409</v>
      </c>
      <c r="R35" s="121">
        <f>'Input Data'!$C$79/100/12</f>
        <v>4.7499999999999994E-4</v>
      </c>
      <c r="S35" s="112">
        <f t="shared" si="27"/>
        <v>192.57911075336219</v>
      </c>
      <c r="T35" s="154">
        <f t="shared" si="26"/>
        <v>-41.340545813232495</v>
      </c>
      <c r="U35" s="11"/>
      <c r="V35" s="211"/>
      <c r="W35" t="s">
        <v>103</v>
      </c>
      <c r="Y35" s="44">
        <f>L44</f>
        <v>-1339300.1649999996</v>
      </c>
      <c r="Z35" t="s">
        <v>33</v>
      </c>
    </row>
    <row r="36" spans="2:26" x14ac:dyDescent="0.35">
      <c r="B36" s="208"/>
      <c r="C36" s="107" t="s">
        <v>149</v>
      </c>
      <c r="E36" s="4">
        <f>D35/2</f>
        <v>2181865.4353299993</v>
      </c>
      <c r="F36" s="179" t="s">
        <v>168</v>
      </c>
      <c r="G36" s="107" t="s">
        <v>4</v>
      </c>
      <c r="H36" s="120">
        <f>'Input Data'!G26/1.041</f>
        <v>12992608.453410184</v>
      </c>
      <c r="I36" s="234">
        <f>E43</f>
        <v>-6.8999999999999999E-3</v>
      </c>
      <c r="J36" s="63">
        <f t="shared" si="20"/>
        <v>-89648.998328530273</v>
      </c>
      <c r="K36" s="119">
        <f>'Input Data'!Q9</f>
        <v>335107.8600000001</v>
      </c>
      <c r="L36" s="233">
        <f t="shared" si="21"/>
        <v>-167553.93000000005</v>
      </c>
      <c r="M36" s="233">
        <f t="shared" si="22"/>
        <v>-167553.93000000005</v>
      </c>
      <c r="N36" s="233"/>
      <c r="O36" s="44">
        <f t="shared" si="23"/>
        <v>-167553.93000000005</v>
      </c>
      <c r="P36" s="65">
        <f t="shared" si="24"/>
        <v>-77904.931671469778</v>
      </c>
      <c r="Q36" s="233">
        <f t="shared" si="25"/>
        <v>250398.96166282432</v>
      </c>
      <c r="R36" s="121">
        <f>'Input Data'!$C$79/100/12</f>
        <v>4.7499999999999994E-4</v>
      </c>
      <c r="S36" s="112">
        <f t="shared" si="27"/>
        <v>155.94434933378966</v>
      </c>
      <c r="T36" s="154">
        <f t="shared" si="26"/>
        <v>-41.340545813232495</v>
      </c>
      <c r="U36" s="11"/>
      <c r="V36" s="211"/>
      <c r="W36" t="s">
        <v>72</v>
      </c>
      <c r="X36" s="11">
        <f>M44</f>
        <v>-1339300.1649999996</v>
      </c>
      <c r="Y36" s="21"/>
      <c r="Z36" t="s">
        <v>116</v>
      </c>
    </row>
    <row r="37" spans="2:26" x14ac:dyDescent="0.35">
      <c r="B37" s="208"/>
      <c r="C37" s="107" t="s">
        <v>129</v>
      </c>
      <c r="E37" s="4">
        <f>-Y14</f>
        <v>-884994.67001440981</v>
      </c>
      <c r="F37" s="179" t="s">
        <v>166</v>
      </c>
      <c r="G37" s="107" t="s">
        <v>5</v>
      </c>
      <c r="H37" s="120">
        <f>'Input Data'!G27/1.041</f>
        <v>14312678.261287225</v>
      </c>
      <c r="I37" s="234">
        <f t="shared" ref="I37:I43" si="28">I36</f>
        <v>-6.8999999999999999E-3</v>
      </c>
      <c r="J37" s="63">
        <f t="shared" si="20"/>
        <v>-98757.480002881857</v>
      </c>
      <c r="K37" s="119">
        <f>'Input Data'!Q10</f>
        <v>115087.01000000001</v>
      </c>
      <c r="L37" s="233">
        <f t="shared" si="21"/>
        <v>-57543.505000000005</v>
      </c>
      <c r="M37" s="233">
        <f t="shared" si="22"/>
        <v>-57543.505000000005</v>
      </c>
      <c r="N37" s="233"/>
      <c r="O37" s="44">
        <f t="shared" si="23"/>
        <v>-57543.505000000005</v>
      </c>
      <c r="P37" s="65">
        <f t="shared" si="24"/>
        <v>41213.975002881853</v>
      </c>
      <c r="Q37" s="233">
        <f t="shared" si="25"/>
        <v>291612.93666570616</v>
      </c>
      <c r="R37" s="121">
        <f>'Input Data'!$C$79/100/12</f>
        <v>4.7499999999999994E-4</v>
      </c>
      <c r="S37" s="112">
        <f t="shared" si="27"/>
        <v>118.93950678984154</v>
      </c>
      <c r="T37" s="154">
        <f t="shared" si="26"/>
        <v>-41.340545813232495</v>
      </c>
      <c r="U37" s="11"/>
      <c r="V37" s="211"/>
      <c r="W37" t="s">
        <v>73</v>
      </c>
      <c r="X37" s="40"/>
      <c r="Y37" s="21"/>
      <c r="Z37" t="s">
        <v>223</v>
      </c>
    </row>
    <row r="38" spans="2:26" x14ac:dyDescent="0.35">
      <c r="B38" s="208"/>
      <c r="C38" s="107" t="s">
        <v>130</v>
      </c>
      <c r="E38" s="4">
        <f>-Y15</f>
        <v>-22220.647145703922</v>
      </c>
      <c r="F38" s="179" t="s">
        <v>167</v>
      </c>
      <c r="G38" s="107" t="s">
        <v>6</v>
      </c>
      <c r="H38" s="120">
        <f>'Input Data'!G28/1.041</f>
        <v>14678629.692603268</v>
      </c>
      <c r="I38" s="234">
        <f t="shared" si="28"/>
        <v>-6.8999999999999999E-3</v>
      </c>
      <c r="J38" s="63">
        <f t="shared" si="20"/>
        <v>-101282.54487896255</v>
      </c>
      <c r="K38" s="119">
        <f>'Input Data'!Q11</f>
        <v>271220.41000000003</v>
      </c>
      <c r="L38" s="233">
        <f t="shared" si="21"/>
        <v>-135610.20500000002</v>
      </c>
      <c r="M38" s="233">
        <f t="shared" si="22"/>
        <v>-135610.20500000002</v>
      </c>
      <c r="N38" s="233"/>
      <c r="O38" s="44">
        <f t="shared" si="23"/>
        <v>-135610.20500000002</v>
      </c>
      <c r="P38" s="65">
        <f t="shared" si="24"/>
        <v>-34327.660121037465</v>
      </c>
      <c r="Q38" s="233">
        <f t="shared" si="25"/>
        <v>257285.27654466871</v>
      </c>
      <c r="R38" s="121">
        <f>'Input Data'!$C$80/100/12</f>
        <v>4.7499999999999994E-4</v>
      </c>
      <c r="S38" s="112">
        <f t="shared" si="27"/>
        <v>138.51614491621041</v>
      </c>
      <c r="T38" s="154">
        <f t="shared" si="26"/>
        <v>-41.340545813232495</v>
      </c>
      <c r="U38" s="11"/>
      <c r="V38" s="211"/>
      <c r="W38" t="s">
        <v>34</v>
      </c>
      <c r="Y38" s="44">
        <f>X37+X36</f>
        <v>-1339300.1649999996</v>
      </c>
      <c r="Z38" t="s">
        <v>117</v>
      </c>
    </row>
    <row r="39" spans="2:26" x14ac:dyDescent="0.35">
      <c r="B39" s="208"/>
      <c r="C39" s="67" t="s">
        <v>203</v>
      </c>
      <c r="E39" s="26">
        <f>SUM(E36:E38)</f>
        <v>1274650.1181698856</v>
      </c>
      <c r="F39" s="179"/>
      <c r="G39" s="107" t="s">
        <v>7</v>
      </c>
      <c r="H39" s="120">
        <f>'Input Data'!G29/1.041</f>
        <v>16760211.450528337</v>
      </c>
      <c r="I39" s="234">
        <f t="shared" si="28"/>
        <v>-6.8999999999999999E-3</v>
      </c>
      <c r="J39" s="63">
        <f t="shared" si="20"/>
        <v>-115645.45900864553</v>
      </c>
      <c r="K39" s="119">
        <f>'Input Data'!Q12</f>
        <v>206589.83999999997</v>
      </c>
      <c r="L39" s="233">
        <f t="shared" si="21"/>
        <v>-103294.91999999998</v>
      </c>
      <c r="M39" s="233">
        <f t="shared" si="22"/>
        <v>-103294.91999999998</v>
      </c>
      <c r="N39" s="233"/>
      <c r="O39" s="44">
        <f t="shared" si="23"/>
        <v>-103294.91999999998</v>
      </c>
      <c r="P39" s="65">
        <f t="shared" si="24"/>
        <v>12350.539008645545</v>
      </c>
      <c r="Q39" s="233">
        <f t="shared" si="25"/>
        <v>269635.81555331429</v>
      </c>
      <c r="R39" s="121">
        <f>'Input Data'!$C$80/100/12</f>
        <v>4.7499999999999994E-4</v>
      </c>
      <c r="S39" s="112">
        <f t="shared" si="27"/>
        <v>122.21050635871762</v>
      </c>
      <c r="T39" s="154">
        <f t="shared" si="26"/>
        <v>-41.340545813232495</v>
      </c>
      <c r="U39" s="11"/>
      <c r="V39" s="211"/>
      <c r="W39" t="s">
        <v>35</v>
      </c>
      <c r="Y39" s="72">
        <f>J44</f>
        <v>-1607060.3538789626</v>
      </c>
      <c r="Z39" t="s">
        <v>204</v>
      </c>
    </row>
    <row r="40" spans="2:26" x14ac:dyDescent="0.35">
      <c r="B40" s="208"/>
      <c r="C40" s="107"/>
      <c r="F40" s="179"/>
      <c r="G40" s="107" t="s">
        <v>8</v>
      </c>
      <c r="H40" s="120">
        <f>'Input Data'!G30/1.041</f>
        <v>12533578.146013452</v>
      </c>
      <c r="I40" s="234">
        <f t="shared" si="28"/>
        <v>-6.8999999999999999E-3</v>
      </c>
      <c r="J40" s="63">
        <f t="shared" si="20"/>
        <v>-86481.689207492818</v>
      </c>
      <c r="K40" s="119">
        <f>'Input Data'!Q13</f>
        <v>204085.54999999993</v>
      </c>
      <c r="L40" s="233">
        <f t="shared" si="21"/>
        <v>-102042.77499999997</v>
      </c>
      <c r="M40" s="233">
        <f t="shared" si="22"/>
        <v>-102042.77499999997</v>
      </c>
      <c r="N40" s="233"/>
      <c r="O40" s="44">
        <f t="shared" si="23"/>
        <v>-102042.77499999997</v>
      </c>
      <c r="P40" s="65">
        <f t="shared" si="24"/>
        <v>-15561.085792507147</v>
      </c>
      <c r="Q40" s="233">
        <f t="shared" si="25"/>
        <v>254074.72976080712</v>
      </c>
      <c r="R40" s="121">
        <f>'Input Data'!$C$80/100/12</f>
        <v>4.7499999999999994E-4</v>
      </c>
      <c r="S40" s="112">
        <f t="shared" si="27"/>
        <v>128.07701238782428</v>
      </c>
      <c r="T40" s="154">
        <f t="shared" si="26"/>
        <v>-41.340545813232495</v>
      </c>
      <c r="U40" s="11"/>
      <c r="V40" s="211"/>
      <c r="W40" t="s">
        <v>19</v>
      </c>
      <c r="Y40" s="85">
        <f>Y38-Y39</f>
        <v>267760.188878963</v>
      </c>
      <c r="Z40" t="s">
        <v>120</v>
      </c>
    </row>
    <row r="41" spans="2:26" x14ac:dyDescent="0.35">
      <c r="B41" s="208"/>
      <c r="C41" s="107" t="s">
        <v>128</v>
      </c>
      <c r="D41" s="124">
        <f>'Input Data'!E39</f>
        <v>183512928</v>
      </c>
      <c r="F41" s="179" t="s">
        <v>175</v>
      </c>
      <c r="G41" s="107" t="s">
        <v>9</v>
      </c>
      <c r="H41" s="120">
        <f>'Input Data'!G31/1.041</f>
        <v>13184034.32276657</v>
      </c>
      <c r="I41" s="234">
        <f t="shared" si="28"/>
        <v>-6.8999999999999999E-3</v>
      </c>
      <c r="J41" s="63">
        <f t="shared" si="20"/>
        <v>-90969.836827089341</v>
      </c>
      <c r="K41" s="119">
        <f>'Input Data'!Q14</f>
        <v>272887.27999999997</v>
      </c>
      <c r="L41" s="233">
        <f t="shared" si="21"/>
        <v>-136443.63999999998</v>
      </c>
      <c r="M41" s="233">
        <f t="shared" si="22"/>
        <v>-136443.63999999998</v>
      </c>
      <c r="N41" s="233"/>
      <c r="O41" s="44">
        <f t="shared" si="23"/>
        <v>-136443.63999999998</v>
      </c>
      <c r="P41" s="65">
        <f t="shared" si="24"/>
        <v>-45473.803172910644</v>
      </c>
      <c r="Q41" s="233">
        <f t="shared" si="25"/>
        <v>208600.92658789648</v>
      </c>
      <c r="R41" s="121">
        <f>'Input Data'!$C$81/100/12</f>
        <v>4.7499999999999994E-4</v>
      </c>
      <c r="S41" s="112">
        <f t="shared" si="27"/>
        <v>120.68549663638338</v>
      </c>
      <c r="T41" s="154">
        <f t="shared" si="26"/>
        <v>-41.340545813232495</v>
      </c>
      <c r="U41" s="11"/>
      <c r="V41" s="211"/>
      <c r="W41" t="s">
        <v>36</v>
      </c>
      <c r="Y41" s="44">
        <f>S44+T57</f>
        <v>6535.1171387315353</v>
      </c>
      <c r="Z41" t="s">
        <v>121</v>
      </c>
    </row>
    <row r="42" spans="2:26" x14ac:dyDescent="0.35">
      <c r="B42" s="208"/>
      <c r="C42" s="67"/>
      <c r="D42" s="4"/>
      <c r="F42" s="179"/>
      <c r="G42" s="107" t="s">
        <v>10</v>
      </c>
      <c r="H42" s="120">
        <f>'Input Data'!G32/1.041</f>
        <v>14830822.286263209</v>
      </c>
      <c r="I42" s="234">
        <f t="shared" si="28"/>
        <v>-6.8999999999999999E-3</v>
      </c>
      <c r="J42" s="63">
        <f t="shared" si="20"/>
        <v>-102332.67377521614</v>
      </c>
      <c r="K42" s="119">
        <f>'Input Data'!Q15</f>
        <v>167410.76</v>
      </c>
      <c r="L42" s="233">
        <f t="shared" si="21"/>
        <v>-83705.38</v>
      </c>
      <c r="M42" s="233">
        <f t="shared" si="22"/>
        <v>-83705.38</v>
      </c>
      <c r="N42" s="233"/>
      <c r="O42" s="44">
        <f t="shared" si="23"/>
        <v>-83705.38</v>
      </c>
      <c r="P42" s="65">
        <f t="shared" si="24"/>
        <v>18627.293775216138</v>
      </c>
      <c r="Q42" s="233">
        <f t="shared" si="25"/>
        <v>227228.22036311263</v>
      </c>
      <c r="R42" s="121">
        <f>'Input Data'!$C$81/100/12</f>
        <v>4.7499999999999994E-4</v>
      </c>
      <c r="S42" s="112">
        <f t="shared" si="27"/>
        <v>99.085440129250813</v>
      </c>
      <c r="T42" s="154">
        <f t="shared" si="26"/>
        <v>-41.340545813232495</v>
      </c>
      <c r="U42" s="11"/>
      <c r="V42" s="212"/>
      <c r="W42" s="23"/>
      <c r="X42" s="23"/>
      <c r="Y42" s="24"/>
    </row>
    <row r="43" spans="2:26" x14ac:dyDescent="0.35">
      <c r="B43" s="208"/>
      <c r="C43" s="67" t="s">
        <v>211</v>
      </c>
      <c r="E43" s="25">
        <f>ROUND(-E39/D41,4)</f>
        <v>-6.8999999999999999E-3</v>
      </c>
      <c r="F43" s="182"/>
      <c r="G43" s="107" t="s">
        <v>11</v>
      </c>
      <c r="H43" s="120">
        <f>'Input Data'!G33/1.041</f>
        <v>17383745.437079731</v>
      </c>
      <c r="I43" s="234">
        <f t="shared" si="28"/>
        <v>-6.8999999999999999E-3</v>
      </c>
      <c r="J43" s="63">
        <f t="shared" si="20"/>
        <v>-119947.84351585014</v>
      </c>
      <c r="K43" s="119">
        <f>'Input Data'!Q16</f>
        <v>158831.75000000012</v>
      </c>
      <c r="L43" s="233">
        <f t="shared" si="21"/>
        <v>-79415.875000000058</v>
      </c>
      <c r="M43" s="233">
        <f t="shared" si="22"/>
        <v>-79415.875000000058</v>
      </c>
      <c r="N43" s="233"/>
      <c r="O43" s="44">
        <f t="shared" si="23"/>
        <v>-79415.875000000058</v>
      </c>
      <c r="P43" s="65">
        <f t="shared" si="24"/>
        <v>40531.96851585008</v>
      </c>
      <c r="Q43" s="233">
        <f t="shared" si="25"/>
        <v>267760.18887896271</v>
      </c>
      <c r="R43" s="121">
        <f>'Input Data'!$C$81/100/12</f>
        <v>4.7499999999999994E-4</v>
      </c>
      <c r="S43" s="112">
        <f t="shared" si="27"/>
        <v>107.93340467247849</v>
      </c>
      <c r="T43" s="154">
        <f t="shared" si="26"/>
        <v>-41.340545813232495</v>
      </c>
      <c r="U43" s="11"/>
    </row>
    <row r="44" spans="2:26" ht="15" thickBot="1" x14ac:dyDescent="0.4">
      <c r="B44" s="208"/>
      <c r="C44" s="107"/>
      <c r="F44" s="179"/>
      <c r="G44" s="125" t="s">
        <v>14</v>
      </c>
      <c r="H44" s="126">
        <f>SUM(H32:H43)</f>
        <v>179332075.88856867</v>
      </c>
      <c r="I44" s="127"/>
      <c r="J44" s="128">
        <f t="shared" ref="J44:P44" si="29">SUM(J32:J43)</f>
        <v>-1607060.3538789626</v>
      </c>
      <c r="K44" s="129">
        <f t="shared" si="29"/>
        <v>2678600.3299999991</v>
      </c>
      <c r="L44" s="130">
        <f t="shared" si="29"/>
        <v>-1339300.1649999996</v>
      </c>
      <c r="M44" s="130">
        <f t="shared" si="29"/>
        <v>-1339300.1649999996</v>
      </c>
      <c r="N44" s="130">
        <f t="shared" si="29"/>
        <v>0</v>
      </c>
      <c r="O44" s="128">
        <f t="shared" si="29"/>
        <v>-1339300.1649999996</v>
      </c>
      <c r="P44" s="129">
        <f t="shared" si="29"/>
        <v>267760.18887896271</v>
      </c>
      <c r="Q44" s="131"/>
      <c r="R44" s="127"/>
      <c r="S44" s="130">
        <f>SUM(S32:S43)</f>
        <v>1407.5095216994</v>
      </c>
      <c r="T44" s="183">
        <f>SUM(T32:T43)</f>
        <v>-496.08654975878994</v>
      </c>
      <c r="U44" s="12"/>
    </row>
    <row r="45" spans="2:26" x14ac:dyDescent="0.35">
      <c r="B45" s="207">
        <v>2022</v>
      </c>
      <c r="C45" s="108"/>
      <c r="D45" s="143"/>
      <c r="E45" s="143"/>
      <c r="F45" s="181"/>
      <c r="G45" s="107" t="s">
        <v>0</v>
      </c>
      <c r="H45" s="120">
        <f>'Input Data'!H22/1.041</f>
        <v>20956084.534101825</v>
      </c>
      <c r="I45" s="234">
        <f>I43</f>
        <v>-6.8999999999999999E-3</v>
      </c>
      <c r="J45" s="63">
        <f t="shared" ref="J45:J56" si="30">H45*I45</f>
        <v>-144596.98328530259</v>
      </c>
      <c r="K45" s="119">
        <f>'Input Data'!T5</f>
        <v>37319.140000000014</v>
      </c>
      <c r="L45" s="233">
        <f t="shared" ref="L45:L56" si="31">-K45/2</f>
        <v>-18659.570000000007</v>
      </c>
      <c r="M45" s="233">
        <f t="shared" ref="M45:M56" si="32">-K45/2</f>
        <v>-18659.570000000007</v>
      </c>
      <c r="N45" s="233"/>
      <c r="O45" s="44">
        <f t="shared" ref="O45:O56" si="33">M45+N45</f>
        <v>-18659.570000000007</v>
      </c>
      <c r="P45" s="65">
        <f t="shared" ref="P45:P56" si="34">O45-J45</f>
        <v>125937.41328530258</v>
      </c>
      <c r="Q45" s="233">
        <f>P45</f>
        <v>125937.41328530258</v>
      </c>
      <c r="R45" s="121">
        <f>'Input Data'!$C$82/100/12</f>
        <v>4.7499999999999994E-4</v>
      </c>
      <c r="S45" s="112"/>
      <c r="T45" s="154">
        <f>$P$44*R45</f>
        <v>127.18608971750727</v>
      </c>
      <c r="U45" s="11"/>
    </row>
    <row r="46" spans="2:26" x14ac:dyDescent="0.35">
      <c r="B46" s="208"/>
      <c r="C46" s="107" t="s">
        <v>89</v>
      </c>
      <c r="D46" s="124">
        <f>'Input Data'!L57</f>
        <v>39935906</v>
      </c>
      <c r="F46" s="179" t="s">
        <v>163</v>
      </c>
      <c r="G46" s="107" t="s">
        <v>1</v>
      </c>
      <c r="H46" s="120">
        <f>'Input Data'!H23/1.041</f>
        <v>17871165.225744478</v>
      </c>
      <c r="I46" s="234">
        <f>I45</f>
        <v>-6.8999999999999999E-3</v>
      </c>
      <c r="J46" s="63">
        <f t="shared" si="30"/>
        <v>-123311.0400576369</v>
      </c>
      <c r="K46" s="119">
        <f>'Input Data'!T6</f>
        <v>33610.069999999949</v>
      </c>
      <c r="L46" s="233">
        <f t="shared" si="31"/>
        <v>-16805.034999999974</v>
      </c>
      <c r="M46" s="233">
        <f t="shared" si="32"/>
        <v>-16805.034999999974</v>
      </c>
      <c r="N46" s="233"/>
      <c r="O46" s="44">
        <f t="shared" si="33"/>
        <v>-16805.034999999974</v>
      </c>
      <c r="P46" s="65">
        <f t="shared" si="34"/>
        <v>106506.00505763692</v>
      </c>
      <c r="Q46" s="233">
        <f t="shared" ref="Q46:Q56" si="35">P46+Q45</f>
        <v>232443.41834293952</v>
      </c>
      <c r="R46" s="121">
        <f>'Input Data'!$C$82/100/12</f>
        <v>4.7499999999999994E-4</v>
      </c>
      <c r="S46" s="112">
        <f>Q45*R46</f>
        <v>59.82027131051872</v>
      </c>
      <c r="T46" s="154">
        <f t="shared" ref="T46:T56" si="36">$P$44*R46</f>
        <v>127.18608971750727</v>
      </c>
      <c r="U46" s="11"/>
      <c r="V46" s="210" t="s">
        <v>104</v>
      </c>
      <c r="W46" s="18"/>
      <c r="X46" s="18"/>
      <c r="Y46" s="19"/>
    </row>
    <row r="47" spans="2:26" x14ac:dyDescent="0.35">
      <c r="B47" s="208"/>
      <c r="C47" s="107" t="s">
        <v>126</v>
      </c>
      <c r="D47" s="123">
        <f>'Input Data'!C64/1000</f>
        <v>6.8780000000000008E-2</v>
      </c>
      <c r="F47" s="179" t="s">
        <v>172</v>
      </c>
      <c r="G47" s="107" t="s">
        <v>2</v>
      </c>
      <c r="H47" s="120">
        <f>'Input Data'!H24/1.041</f>
        <v>16783453.410182517</v>
      </c>
      <c r="I47" s="234">
        <f>I46</f>
        <v>-6.8999999999999999E-3</v>
      </c>
      <c r="J47" s="63">
        <f t="shared" si="30"/>
        <v>-115805.82853025937</v>
      </c>
      <c r="K47" s="119">
        <f>'Input Data'!T7</f>
        <v>174539.44999999995</v>
      </c>
      <c r="L47" s="233">
        <f t="shared" si="31"/>
        <v>-87269.724999999977</v>
      </c>
      <c r="M47" s="233">
        <f t="shared" si="32"/>
        <v>-87269.724999999977</v>
      </c>
      <c r="N47" s="233"/>
      <c r="O47" s="44">
        <f t="shared" si="33"/>
        <v>-87269.724999999977</v>
      </c>
      <c r="P47" s="65">
        <f t="shared" si="34"/>
        <v>28536.103530259395</v>
      </c>
      <c r="Q47" s="233">
        <f t="shared" si="35"/>
        <v>260979.52187319892</v>
      </c>
      <c r="R47" s="121">
        <f>'Input Data'!$C$82/100/12</f>
        <v>4.7499999999999994E-4</v>
      </c>
      <c r="S47" s="112">
        <f t="shared" ref="S47:S56" si="37">Q46*R47</f>
        <v>110.41062371289625</v>
      </c>
      <c r="T47" s="154">
        <f t="shared" si="36"/>
        <v>127.18608971750727</v>
      </c>
      <c r="U47" s="11"/>
      <c r="V47" s="211"/>
      <c r="W47" t="s">
        <v>16</v>
      </c>
      <c r="Y47" s="44">
        <f>K57</f>
        <v>2033179.0399999996</v>
      </c>
      <c r="Z47" t="s">
        <v>115</v>
      </c>
    </row>
    <row r="48" spans="2:26" x14ac:dyDescent="0.35">
      <c r="B48" s="208"/>
      <c r="C48" s="107" t="s">
        <v>148</v>
      </c>
      <c r="D48" s="4">
        <f>D46*D47</f>
        <v>2746791.6146800001</v>
      </c>
      <c r="F48" s="179"/>
      <c r="G48" s="107" t="s">
        <v>3</v>
      </c>
      <c r="H48" s="120">
        <f>'Input Data'!H25/1.041</f>
        <v>13851003.842459176</v>
      </c>
      <c r="I48" s="234">
        <f>I47</f>
        <v>-6.8999999999999999E-3</v>
      </c>
      <c r="J48" s="63">
        <f t="shared" si="30"/>
        <v>-95571.926512968304</v>
      </c>
      <c r="K48" s="119">
        <f>'Input Data'!T8</f>
        <v>344332.82999999996</v>
      </c>
      <c r="L48" s="233">
        <f t="shared" si="31"/>
        <v>-172166.41499999998</v>
      </c>
      <c r="M48" s="233">
        <f t="shared" si="32"/>
        <v>-172166.41499999998</v>
      </c>
      <c r="N48" s="233"/>
      <c r="O48" s="44">
        <f t="shared" si="33"/>
        <v>-172166.41499999998</v>
      </c>
      <c r="P48" s="65">
        <f t="shared" si="34"/>
        <v>-76594.488487031675</v>
      </c>
      <c r="Q48" s="233">
        <f t="shared" si="35"/>
        <v>184385.03338616726</v>
      </c>
      <c r="R48" s="121">
        <f>'Input Data'!$C$83/100/12</f>
        <v>8.5000000000000006E-4</v>
      </c>
      <c r="S48" s="112">
        <f t="shared" si="37"/>
        <v>221.8325935922191</v>
      </c>
      <c r="T48" s="154">
        <f t="shared" si="36"/>
        <v>227.59616054711833</v>
      </c>
      <c r="U48" s="11"/>
      <c r="V48" s="211"/>
      <c r="W48" t="s">
        <v>103</v>
      </c>
      <c r="Y48" s="44">
        <f>L57</f>
        <v>-1016589.5199999998</v>
      </c>
      <c r="Z48" t="s">
        <v>33</v>
      </c>
    </row>
    <row r="49" spans="2:26" x14ac:dyDescent="0.35">
      <c r="B49" s="208"/>
      <c r="C49" s="107" t="s">
        <v>149</v>
      </c>
      <c r="E49" s="4">
        <f>D48/2</f>
        <v>1373395.8073400001</v>
      </c>
      <c r="F49" s="179" t="s">
        <v>168</v>
      </c>
      <c r="G49" s="107" t="s">
        <v>4</v>
      </c>
      <c r="H49" s="120">
        <f>'Input Data'!H26/1.041</f>
        <v>13145569.644572528</v>
      </c>
      <c r="I49" s="234">
        <f>E56</f>
        <v>-8.2000000000000007E-3</v>
      </c>
      <c r="J49" s="63">
        <f t="shared" si="30"/>
        <v>-107793.67108549475</v>
      </c>
      <c r="K49" s="119">
        <f>'Input Data'!T9</f>
        <v>480129.94000000006</v>
      </c>
      <c r="L49" s="233">
        <f t="shared" si="31"/>
        <v>-240064.97000000003</v>
      </c>
      <c r="M49" s="233">
        <f t="shared" si="32"/>
        <v>-240064.97000000003</v>
      </c>
      <c r="N49" s="233">
        <f>-($E$37+$E$38)/12</f>
        <v>75601.276430009471</v>
      </c>
      <c r="O49" s="44">
        <f t="shared" si="33"/>
        <v>-164463.69356999057</v>
      </c>
      <c r="P49" s="65">
        <f t="shared" si="34"/>
        <v>-56670.022484495828</v>
      </c>
      <c r="Q49" s="233">
        <f t="shared" si="35"/>
        <v>127715.01090167143</v>
      </c>
      <c r="R49" s="121">
        <f>'Input Data'!$C$83/100/12</f>
        <v>8.5000000000000006E-4</v>
      </c>
      <c r="S49" s="112">
        <f t="shared" si="37"/>
        <v>156.72727837824218</v>
      </c>
      <c r="T49" s="154">
        <f t="shared" si="36"/>
        <v>227.59616054711833</v>
      </c>
      <c r="U49" s="11"/>
      <c r="V49" s="211"/>
      <c r="W49" t="s">
        <v>72</v>
      </c>
      <c r="X49" s="11">
        <f>M57</f>
        <v>-1016589.5199999998</v>
      </c>
      <c r="Y49" s="21"/>
      <c r="Z49" t="s">
        <v>116</v>
      </c>
    </row>
    <row r="50" spans="2:26" x14ac:dyDescent="0.35">
      <c r="B50" s="208"/>
      <c r="C50" s="107" t="s">
        <v>129</v>
      </c>
      <c r="E50" s="4">
        <f>-Y27</f>
        <v>87032.728027857374</v>
      </c>
      <c r="F50" s="179" t="s">
        <v>173</v>
      </c>
      <c r="G50" s="107" t="s">
        <v>5</v>
      </c>
      <c r="H50" s="120">
        <f>'Input Data'!H27/1.041</f>
        <v>13412040.345821327</v>
      </c>
      <c r="I50" s="234">
        <f t="shared" ref="I50:I56" si="38">I49</f>
        <v>-8.2000000000000007E-3</v>
      </c>
      <c r="J50" s="63">
        <f t="shared" si="30"/>
        <v>-109978.73083573488</v>
      </c>
      <c r="K50" s="119">
        <f>'Input Data'!T10</f>
        <v>443166.67999999993</v>
      </c>
      <c r="L50" s="233">
        <f t="shared" si="31"/>
        <v>-221583.33999999997</v>
      </c>
      <c r="M50" s="233">
        <f t="shared" si="32"/>
        <v>-221583.33999999997</v>
      </c>
      <c r="N50" s="233">
        <f>-($E$37+$E$38)/12</f>
        <v>75601.276430009471</v>
      </c>
      <c r="O50" s="44">
        <f t="shared" si="33"/>
        <v>-145982.06356999051</v>
      </c>
      <c r="P50" s="65">
        <f t="shared" si="34"/>
        <v>-36003.332734255629</v>
      </c>
      <c r="Q50" s="233">
        <f t="shared" si="35"/>
        <v>91711.678167415797</v>
      </c>
      <c r="R50" s="121">
        <f>'Input Data'!$C$83/100/12</f>
        <v>8.5000000000000006E-4</v>
      </c>
      <c r="S50" s="112">
        <f t="shared" si="37"/>
        <v>108.55775926642072</v>
      </c>
      <c r="T50" s="154">
        <f t="shared" si="36"/>
        <v>227.59616054711833</v>
      </c>
      <c r="U50" s="11"/>
      <c r="V50" s="211"/>
      <c r="W50" t="s">
        <v>73</v>
      </c>
      <c r="X50" s="40">
        <f>-(E37+E38)</f>
        <v>907215.31716011371</v>
      </c>
      <c r="Y50" s="21"/>
      <c r="Z50" t="s">
        <v>223</v>
      </c>
    </row>
    <row r="51" spans="2:26" x14ac:dyDescent="0.35">
      <c r="B51" s="208"/>
      <c r="C51" s="107" t="s">
        <v>130</v>
      </c>
      <c r="E51" s="4">
        <f>-Y28</f>
        <v>-1018.8116710579959</v>
      </c>
      <c r="F51" s="179" t="s">
        <v>174</v>
      </c>
      <c r="G51" s="107" t="s">
        <v>6</v>
      </c>
      <c r="H51" s="120">
        <f>'Input Data'!H28/1.041</f>
        <v>15239493.756003844</v>
      </c>
      <c r="I51" s="234">
        <f t="shared" si="38"/>
        <v>-8.2000000000000007E-3</v>
      </c>
      <c r="J51" s="63">
        <f t="shared" si="30"/>
        <v>-124963.84879923153</v>
      </c>
      <c r="K51" s="119">
        <f>'Input Data'!T11</f>
        <v>164396.14000000001</v>
      </c>
      <c r="L51" s="233">
        <f t="shared" si="31"/>
        <v>-82198.070000000007</v>
      </c>
      <c r="M51" s="233">
        <f t="shared" si="32"/>
        <v>-82198.070000000007</v>
      </c>
      <c r="N51" s="233">
        <f>-($E$37+$E$38)/12</f>
        <v>75601.276430009471</v>
      </c>
      <c r="O51" s="44">
        <f t="shared" si="33"/>
        <v>-6596.7935699905356</v>
      </c>
      <c r="P51" s="65">
        <f t="shared" si="34"/>
        <v>118367.055229241</v>
      </c>
      <c r="Q51" s="233">
        <f t="shared" si="35"/>
        <v>210078.73339665681</v>
      </c>
      <c r="R51" s="121">
        <f>'Input Data'!$C$84/100/12</f>
        <v>1.8333333333333335E-3</v>
      </c>
      <c r="S51" s="112">
        <f t="shared" si="37"/>
        <v>168.13807664026231</v>
      </c>
      <c r="T51" s="154">
        <f t="shared" si="36"/>
        <v>490.89367961143171</v>
      </c>
      <c r="U51" s="11"/>
      <c r="V51" s="211"/>
      <c r="W51" t="s">
        <v>34</v>
      </c>
      <c r="Y51" s="44">
        <f>X50+X49</f>
        <v>-109374.20283988607</v>
      </c>
      <c r="Z51" t="s">
        <v>117</v>
      </c>
    </row>
    <row r="52" spans="2:26" x14ac:dyDescent="0.35">
      <c r="B52" s="208"/>
      <c r="C52" s="67" t="s">
        <v>203</v>
      </c>
      <c r="E52" s="26">
        <f>SUM(E49:E51)</f>
        <v>1459409.7236967995</v>
      </c>
      <c r="F52" s="179"/>
      <c r="G52" s="107" t="s">
        <v>7</v>
      </c>
      <c r="H52" s="120">
        <f>'Input Data'!H29/1.041</f>
        <v>15103622.478386167</v>
      </c>
      <c r="I52" s="234">
        <f t="shared" si="38"/>
        <v>-8.2000000000000007E-3</v>
      </c>
      <c r="J52" s="63">
        <f t="shared" si="30"/>
        <v>-123849.70432276659</v>
      </c>
      <c r="K52" s="119">
        <f>'Input Data'!T12</f>
        <v>13161.179999999993</v>
      </c>
      <c r="L52" s="233">
        <f t="shared" si="31"/>
        <v>-6580.5899999999965</v>
      </c>
      <c r="M52" s="233">
        <f t="shared" si="32"/>
        <v>-6580.5899999999965</v>
      </c>
      <c r="N52" s="233">
        <f>-($E$37+$E$38)/12</f>
        <v>75601.276430009471</v>
      </c>
      <c r="O52" s="44">
        <f t="shared" si="33"/>
        <v>69020.686430009475</v>
      </c>
      <c r="P52" s="65">
        <f t="shared" si="34"/>
        <v>192870.39075277606</v>
      </c>
      <c r="Q52" s="233">
        <f t="shared" si="35"/>
        <v>402949.12414943287</v>
      </c>
      <c r="R52" s="121">
        <f>'Input Data'!$C$84/100/12</f>
        <v>1.8333333333333335E-3</v>
      </c>
      <c r="S52" s="112">
        <f t="shared" si="37"/>
        <v>385.14434456053755</v>
      </c>
      <c r="T52" s="154">
        <f t="shared" si="36"/>
        <v>490.89367961143171</v>
      </c>
      <c r="U52" s="11"/>
      <c r="V52" s="211"/>
      <c r="W52" t="s">
        <v>35</v>
      </c>
      <c r="Y52" s="72">
        <f>J57</f>
        <v>-1429598.4186551394</v>
      </c>
      <c r="Z52" t="s">
        <v>204</v>
      </c>
    </row>
    <row r="53" spans="2:26" x14ac:dyDescent="0.35">
      <c r="B53" s="208"/>
      <c r="C53" s="107"/>
      <c r="F53" s="179"/>
      <c r="G53" s="107" t="s">
        <v>8</v>
      </c>
      <c r="H53" s="120">
        <f>'Input Data'!H30/1.041</f>
        <v>12895567.72334294</v>
      </c>
      <c r="I53" s="234">
        <f t="shared" si="38"/>
        <v>-8.2000000000000007E-3</v>
      </c>
      <c r="J53" s="63">
        <f t="shared" si="30"/>
        <v>-105743.65533141211</v>
      </c>
      <c r="K53" s="119">
        <f>'Input Data'!T13</f>
        <v>140814</v>
      </c>
      <c r="L53" s="233">
        <f t="shared" si="31"/>
        <v>-70407</v>
      </c>
      <c r="M53" s="233">
        <f t="shared" si="32"/>
        <v>-70407</v>
      </c>
      <c r="N53" s="233">
        <f>-($E$37+$E$38)/12</f>
        <v>75601.276430009471</v>
      </c>
      <c r="O53" s="44">
        <f t="shared" si="33"/>
        <v>5194.2764300094714</v>
      </c>
      <c r="P53" s="65">
        <f t="shared" si="34"/>
        <v>110937.93176142158</v>
      </c>
      <c r="Q53" s="233">
        <f t="shared" si="35"/>
        <v>513887.05591085448</v>
      </c>
      <c r="R53" s="121">
        <f>'Input Data'!$C$84/100/12</f>
        <v>1.8333333333333335E-3</v>
      </c>
      <c r="S53" s="112">
        <f t="shared" si="37"/>
        <v>738.74006094062702</v>
      </c>
      <c r="T53" s="154">
        <f t="shared" si="36"/>
        <v>490.89367961143171</v>
      </c>
      <c r="U53" s="11"/>
      <c r="V53" s="211"/>
      <c r="W53" t="s">
        <v>19</v>
      </c>
      <c r="Y53" s="85">
        <f>Y51-Y52</f>
        <v>1320224.2158152533</v>
      </c>
      <c r="Z53" t="s">
        <v>122</v>
      </c>
    </row>
    <row r="54" spans="2:26" x14ac:dyDescent="0.35">
      <c r="B54" s="208"/>
      <c r="C54" s="107" t="s">
        <v>128</v>
      </c>
      <c r="D54" s="124">
        <f>'Input Data'!F39</f>
        <v>178353238</v>
      </c>
      <c r="F54" s="179" t="s">
        <v>176</v>
      </c>
      <c r="G54" s="107" t="s">
        <v>9</v>
      </c>
      <c r="H54" s="120">
        <f>'Input Data'!H31/1.041</f>
        <v>13363251.68107589</v>
      </c>
      <c r="I54" s="234">
        <f t="shared" si="38"/>
        <v>-8.2000000000000007E-3</v>
      </c>
      <c r="J54" s="63">
        <f t="shared" si="30"/>
        <v>-109578.6637848223</v>
      </c>
      <c r="K54" s="119">
        <f>'Input Data'!T14</f>
        <v>139906.34999999998</v>
      </c>
      <c r="L54" s="233">
        <f t="shared" si="31"/>
        <v>-69953.174999999988</v>
      </c>
      <c r="M54" s="233">
        <f t="shared" si="32"/>
        <v>-69953.174999999988</v>
      </c>
      <c r="N54" s="233">
        <f>-($E$37+$E$38)/12</f>
        <v>75601.276430009471</v>
      </c>
      <c r="O54" s="44">
        <f t="shared" si="33"/>
        <v>5648.101430009483</v>
      </c>
      <c r="P54" s="65">
        <f t="shared" si="34"/>
        <v>115226.76521483179</v>
      </c>
      <c r="Q54" s="233">
        <f t="shared" si="35"/>
        <v>629113.82112568629</v>
      </c>
      <c r="R54" s="121">
        <f>'Input Data'!$C$85/100/12</f>
        <v>3.225E-3</v>
      </c>
      <c r="S54" s="112">
        <f t="shared" si="37"/>
        <v>1657.2857553125057</v>
      </c>
      <c r="T54" s="154">
        <f t="shared" si="36"/>
        <v>863.52660913465479</v>
      </c>
      <c r="U54" s="11"/>
      <c r="V54" s="211"/>
      <c r="W54" t="s">
        <v>36</v>
      </c>
      <c r="Y54" s="44">
        <f>S57+T70</f>
        <v>59617.997435893041</v>
      </c>
      <c r="Z54" t="s">
        <v>123</v>
      </c>
    </row>
    <row r="55" spans="2:26" x14ac:dyDescent="0.35">
      <c r="B55" s="208"/>
      <c r="C55" s="67"/>
      <c r="D55" s="4"/>
      <c r="F55" s="179"/>
      <c r="G55" s="107" t="s">
        <v>10</v>
      </c>
      <c r="H55" s="120">
        <f>'Input Data'!H32/1.041</f>
        <v>15431694.649375601</v>
      </c>
      <c r="I55" s="234">
        <f t="shared" si="38"/>
        <v>-8.2000000000000007E-3</v>
      </c>
      <c r="J55" s="63">
        <f t="shared" si="30"/>
        <v>-126539.89612487993</v>
      </c>
      <c r="K55" s="119">
        <f>'Input Data'!T15</f>
        <v>29347.509999999776</v>
      </c>
      <c r="L55" s="233">
        <f t="shared" si="31"/>
        <v>-14673.754999999888</v>
      </c>
      <c r="M55" s="233">
        <f t="shared" si="32"/>
        <v>-14673.754999999888</v>
      </c>
      <c r="N55" s="233">
        <f>-($E$37+$E$38)/12</f>
        <v>75601.276430009471</v>
      </c>
      <c r="O55" s="44">
        <f t="shared" si="33"/>
        <v>60927.521430009583</v>
      </c>
      <c r="P55" s="65">
        <f t="shared" si="34"/>
        <v>187467.41755488951</v>
      </c>
      <c r="Q55" s="233">
        <f t="shared" si="35"/>
        <v>816581.23868057574</v>
      </c>
      <c r="R55" s="121">
        <f>'Input Data'!$C$85/100/12</f>
        <v>3.225E-3</v>
      </c>
      <c r="S55" s="112">
        <f t="shared" si="37"/>
        <v>2028.8920731303383</v>
      </c>
      <c r="T55" s="154">
        <f t="shared" si="36"/>
        <v>863.52660913465479</v>
      </c>
      <c r="U55" s="11"/>
      <c r="V55" s="212"/>
      <c r="W55" s="23"/>
      <c r="X55" s="23"/>
      <c r="Y55" s="24"/>
    </row>
    <row r="56" spans="2:26" x14ac:dyDescent="0.35">
      <c r="B56" s="208"/>
      <c r="C56" s="67" t="s">
        <v>212</v>
      </c>
      <c r="E56" s="25">
        <f>ROUND(-E52/D54,4)</f>
        <v>-8.2000000000000007E-3</v>
      </c>
      <c r="F56" s="182"/>
      <c r="G56" s="107" t="s">
        <v>11</v>
      </c>
      <c r="H56" s="120">
        <f>'Input Data'!H33/1.041</f>
        <v>17300545.12007685</v>
      </c>
      <c r="I56" s="234">
        <f t="shared" si="38"/>
        <v>-8.2000000000000007E-3</v>
      </c>
      <c r="J56" s="63">
        <f t="shared" si="30"/>
        <v>-141864.46998463018</v>
      </c>
      <c r="K56" s="119">
        <f>'Input Data'!T16</f>
        <v>32455.75</v>
      </c>
      <c r="L56" s="233">
        <f t="shared" si="31"/>
        <v>-16227.875</v>
      </c>
      <c r="M56" s="233">
        <f t="shared" si="32"/>
        <v>-16227.875</v>
      </c>
      <c r="N56" s="233">
        <f>-($E$37+$E$38)/12</f>
        <v>75601.276430009471</v>
      </c>
      <c r="O56" s="44">
        <f t="shared" si="33"/>
        <v>59373.401430009471</v>
      </c>
      <c r="P56" s="65">
        <f t="shared" si="34"/>
        <v>201237.87141463964</v>
      </c>
      <c r="Q56" s="233">
        <f t="shared" si="35"/>
        <v>1017819.1100952154</v>
      </c>
      <c r="R56" s="121">
        <f>'Input Data'!$C$85/100/12</f>
        <v>3.225E-3</v>
      </c>
      <c r="S56" s="112">
        <f t="shared" si="37"/>
        <v>2633.4744947448567</v>
      </c>
      <c r="T56" s="154">
        <f t="shared" si="36"/>
        <v>863.52660913465479</v>
      </c>
      <c r="U56" s="11"/>
    </row>
    <row r="57" spans="2:26" ht="15" thickBot="1" x14ac:dyDescent="0.4">
      <c r="B57" s="209"/>
      <c r="C57" s="144"/>
      <c r="D57" s="145"/>
      <c r="E57" s="145"/>
      <c r="F57" s="180"/>
      <c r="G57" s="125" t="s">
        <v>14</v>
      </c>
      <c r="H57" s="126">
        <f>SUM(H45:H56)</f>
        <v>185353492.41114312</v>
      </c>
      <c r="I57" s="127"/>
      <c r="J57" s="128">
        <f t="shared" ref="J57:P57" si="39">SUM(J45:J56)</f>
        <v>-1429598.4186551394</v>
      </c>
      <c r="K57" s="129">
        <f t="shared" si="39"/>
        <v>2033179.0399999996</v>
      </c>
      <c r="L57" s="130">
        <f t="shared" si="39"/>
        <v>-1016589.5199999998</v>
      </c>
      <c r="M57" s="130">
        <f t="shared" si="39"/>
        <v>-1016589.5199999998</v>
      </c>
      <c r="N57" s="130">
        <f t="shared" si="39"/>
        <v>604810.21144007577</v>
      </c>
      <c r="O57" s="128">
        <f t="shared" si="39"/>
        <v>-411779.30855992413</v>
      </c>
      <c r="P57" s="129">
        <f t="shared" si="39"/>
        <v>1017819.1100952154</v>
      </c>
      <c r="Q57" s="131"/>
      <c r="R57" s="127"/>
      <c r="S57" s="130">
        <f>SUM(S45:S56)</f>
        <v>8269.0233315894238</v>
      </c>
      <c r="T57" s="183">
        <f>SUM(T45:T56)</f>
        <v>5127.6076170321357</v>
      </c>
      <c r="U57" s="12"/>
    </row>
    <row r="58" spans="2:26" x14ac:dyDescent="0.35">
      <c r="B58" s="207">
        <v>2023</v>
      </c>
      <c r="C58" s="108"/>
      <c r="D58" s="143"/>
      <c r="E58" s="143"/>
      <c r="F58" s="181"/>
      <c r="G58" s="107" t="s">
        <v>0</v>
      </c>
      <c r="H58" s="120">
        <f>'Input Data'!I22/1.041</f>
        <v>17577309.116234392</v>
      </c>
      <c r="I58" s="234">
        <f>E56</f>
        <v>-8.2000000000000007E-3</v>
      </c>
      <c r="J58" s="63">
        <f t="shared" ref="J58:J69" si="40">H58*I58</f>
        <v>-144133.93475312201</v>
      </c>
      <c r="K58" s="119">
        <f>'Input Data'!W5</f>
        <v>138799.72999999998</v>
      </c>
      <c r="L58" s="233">
        <f t="shared" ref="L58:L69" si="41">-K58/2</f>
        <v>-69399.864999999991</v>
      </c>
      <c r="M58" s="233">
        <f t="shared" ref="M58:M69" si="42">-K58/2</f>
        <v>-69399.864999999991</v>
      </c>
      <c r="N58" s="233">
        <f>-($E$37+$E$38)/12</f>
        <v>75601.276430009471</v>
      </c>
      <c r="O58" s="44">
        <f t="shared" ref="O58:O69" si="43">M58+N58</f>
        <v>6201.4114300094807</v>
      </c>
      <c r="P58" s="65">
        <f t="shared" ref="P58:P69" si="44">O58-J58</f>
        <v>150335.34618313151</v>
      </c>
      <c r="Q58" s="233">
        <f>P58</f>
        <v>150335.34618313151</v>
      </c>
      <c r="R58" s="121">
        <f>'Input Data'!$C$86/100/12</f>
        <v>3.9416666666666671E-3</v>
      </c>
      <c r="S58" s="112"/>
      <c r="T58" s="154">
        <f>$P$57*R58</f>
        <v>4011.9036589586412</v>
      </c>
      <c r="U58" s="11"/>
    </row>
    <row r="59" spans="2:26" x14ac:dyDescent="0.35">
      <c r="B59" s="208"/>
      <c r="C59" s="107" t="s">
        <v>89</v>
      </c>
      <c r="D59" s="124">
        <f>'Input Data'!M57</f>
        <v>37172348.5</v>
      </c>
      <c r="F59" s="179" t="s">
        <v>163</v>
      </c>
      <c r="G59" s="107" t="s">
        <v>1</v>
      </c>
      <c r="H59" s="120">
        <f>'Input Data'!I23/1.041</f>
        <v>16452589.750240155</v>
      </c>
      <c r="I59" s="234">
        <f>I58</f>
        <v>-8.2000000000000007E-3</v>
      </c>
      <c r="J59" s="63">
        <f t="shared" si="40"/>
        <v>-134911.23595196928</v>
      </c>
      <c r="K59" s="119">
        <f>'Input Data'!W6</f>
        <v>166356.76</v>
      </c>
      <c r="L59" s="233">
        <f t="shared" si="41"/>
        <v>-83178.38</v>
      </c>
      <c r="M59" s="233">
        <f t="shared" si="42"/>
        <v>-83178.38</v>
      </c>
      <c r="N59" s="233">
        <f>-($E$37+$E$38)/12</f>
        <v>75601.276430009471</v>
      </c>
      <c r="O59" s="44">
        <f t="shared" si="43"/>
        <v>-7577.1035699905333</v>
      </c>
      <c r="P59" s="65">
        <f t="shared" si="44"/>
        <v>127334.13238197875</v>
      </c>
      <c r="Q59" s="233">
        <f t="shared" ref="Q59:Q69" si="45">P59+Q58</f>
        <v>277669.47856511024</v>
      </c>
      <c r="R59" s="121">
        <f>'Input Data'!$C$86/100/12</f>
        <v>3.9416666666666671E-3</v>
      </c>
      <c r="S59" s="112">
        <f>Q58*R59</f>
        <v>592.57182287184344</v>
      </c>
      <c r="T59" s="154">
        <f t="shared" ref="T59:T69" si="46">$P$57*R59</f>
        <v>4011.9036589586412</v>
      </c>
      <c r="U59" s="11"/>
      <c r="V59" s="210" t="s">
        <v>104</v>
      </c>
      <c r="W59" s="18"/>
      <c r="X59" s="18"/>
      <c r="Y59" s="19"/>
    </row>
    <row r="60" spans="2:26" x14ac:dyDescent="0.35">
      <c r="B60" s="208"/>
      <c r="C60" s="107" t="s">
        <v>126</v>
      </c>
      <c r="D60" s="123">
        <f>'Input Data'!C65/1000</f>
        <v>3.6040000000000003E-2</v>
      </c>
      <c r="F60" s="179" t="s">
        <v>177</v>
      </c>
      <c r="G60" s="107" t="s">
        <v>2</v>
      </c>
      <c r="H60" s="120">
        <f>'Input Data'!I24/1.041</f>
        <v>16347903.919308359</v>
      </c>
      <c r="I60" s="234">
        <f>I59</f>
        <v>-8.2000000000000007E-3</v>
      </c>
      <c r="J60" s="63">
        <f t="shared" si="40"/>
        <v>-134052.81213832856</v>
      </c>
      <c r="K60" s="119">
        <f>'Input Data'!W7</f>
        <v>226199.54000000004</v>
      </c>
      <c r="L60" s="233">
        <f t="shared" si="41"/>
        <v>-113099.77000000002</v>
      </c>
      <c r="M60" s="233">
        <f t="shared" si="42"/>
        <v>-113099.77000000002</v>
      </c>
      <c r="N60" s="233">
        <f>-($E$37+$E$38)/12</f>
        <v>75601.276430009471</v>
      </c>
      <c r="O60" s="44">
        <f t="shared" si="43"/>
        <v>-37498.493569990547</v>
      </c>
      <c r="P60" s="65">
        <f t="shared" si="44"/>
        <v>96554.318568338014</v>
      </c>
      <c r="Q60" s="233">
        <f t="shared" si="45"/>
        <v>374223.79713344824</v>
      </c>
      <c r="R60" s="121">
        <f>'Input Data'!$C$86/100/12</f>
        <v>3.9416666666666671E-3</v>
      </c>
      <c r="S60" s="112">
        <f t="shared" ref="S60:S69" si="47">Q59*R60</f>
        <v>1094.4805280108096</v>
      </c>
      <c r="T60" s="154">
        <f t="shared" si="46"/>
        <v>4011.9036589586412</v>
      </c>
      <c r="U60" s="11"/>
      <c r="V60" s="211"/>
      <c r="W60" t="s">
        <v>16</v>
      </c>
      <c r="Y60" s="44">
        <f>K70</f>
        <v>2510607.2900000005</v>
      </c>
      <c r="Z60" t="s">
        <v>115</v>
      </c>
    </row>
    <row r="61" spans="2:26" x14ac:dyDescent="0.35">
      <c r="B61" s="208"/>
      <c r="C61" s="107" t="s">
        <v>148</v>
      </c>
      <c r="D61" s="4">
        <f>D59*D60</f>
        <v>1339691.4399400002</v>
      </c>
      <c r="F61" s="179"/>
      <c r="G61" s="107" t="s">
        <v>3</v>
      </c>
      <c r="H61" s="120">
        <f>'Input Data'!I25/1.041</f>
        <v>13566437.598463016</v>
      </c>
      <c r="I61" s="234">
        <f>I60</f>
        <v>-8.2000000000000007E-3</v>
      </c>
      <c r="J61" s="63">
        <f t="shared" si="40"/>
        <v>-111244.78830739674</v>
      </c>
      <c r="K61" s="119">
        <f>'Input Data'!W8</f>
        <v>419291.45999999996</v>
      </c>
      <c r="L61" s="233">
        <f t="shared" si="41"/>
        <v>-209645.72999999998</v>
      </c>
      <c r="M61" s="233">
        <f t="shared" si="42"/>
        <v>-209645.72999999998</v>
      </c>
      <c r="N61" s="233">
        <f>-($E$37+$E$38)/12</f>
        <v>75601.276430009471</v>
      </c>
      <c r="O61" s="44">
        <f t="shared" si="43"/>
        <v>-134044.45356999052</v>
      </c>
      <c r="P61" s="65">
        <f t="shared" si="44"/>
        <v>-22799.665262593786</v>
      </c>
      <c r="Q61" s="233">
        <f t="shared" si="45"/>
        <v>351424.13187085447</v>
      </c>
      <c r="R61" s="121">
        <f>'Input Data'!$C$87/100/12</f>
        <v>4.15E-3</v>
      </c>
      <c r="S61" s="112">
        <f t="shared" si="47"/>
        <v>1553.0287581038103</v>
      </c>
      <c r="T61" s="154">
        <f>$P$57*R61</f>
        <v>4223.9493068951442</v>
      </c>
      <c r="U61" s="11"/>
      <c r="V61" s="211"/>
      <c r="W61" t="s">
        <v>103</v>
      </c>
      <c r="Y61" s="44">
        <f>L70</f>
        <v>-1255303.6450000003</v>
      </c>
      <c r="Z61" t="s">
        <v>33</v>
      </c>
    </row>
    <row r="62" spans="2:26" x14ac:dyDescent="0.35">
      <c r="B62" s="208"/>
      <c r="C62" s="107" t="s">
        <v>149</v>
      </c>
      <c r="E62" s="4">
        <f>D61/2</f>
        <v>669845.71997000009</v>
      </c>
      <c r="F62" s="179" t="s">
        <v>168</v>
      </c>
      <c r="G62" s="107" t="s">
        <v>4</v>
      </c>
      <c r="H62" s="120">
        <f>'Input Data'!I26/1.041</f>
        <v>12990801.095100865</v>
      </c>
      <c r="I62" s="234">
        <f>E69</f>
        <v>-2.2000000000000001E-3</v>
      </c>
      <c r="J62" s="63">
        <f t="shared" si="40"/>
        <v>-28579.762409221905</v>
      </c>
      <c r="K62" s="119">
        <f>'Input Data'!W9</f>
        <v>504470.69000000006</v>
      </c>
      <c r="L62" s="233">
        <f t="shared" si="41"/>
        <v>-252235.34500000003</v>
      </c>
      <c r="M62" s="233">
        <f t="shared" si="42"/>
        <v>-252235.34500000003</v>
      </c>
      <c r="N62" s="233">
        <f>-($E$50+$E$51)/12</f>
        <v>-7167.8263630666152</v>
      </c>
      <c r="O62" s="44">
        <f t="shared" si="43"/>
        <v>-259403.17136306665</v>
      </c>
      <c r="P62" s="65">
        <f t="shared" si="44"/>
        <v>-230823.40895384474</v>
      </c>
      <c r="Q62" s="233">
        <f t="shared" si="45"/>
        <v>120600.72291700973</v>
      </c>
      <c r="R62" s="121">
        <f>'Input Data'!$C$87/100/12</f>
        <v>4.15E-3</v>
      </c>
      <c r="S62" s="112">
        <f t="shared" si="47"/>
        <v>1458.4101472640461</v>
      </c>
      <c r="T62" s="154">
        <f>$P$57*R62</f>
        <v>4223.9493068951442</v>
      </c>
      <c r="U62" s="11"/>
      <c r="V62" s="211"/>
      <c r="W62" t="s">
        <v>72</v>
      </c>
      <c r="X62" s="11">
        <f>M70</f>
        <v>-1255303.6450000003</v>
      </c>
      <c r="Y62" s="21"/>
      <c r="Z62" t="s">
        <v>116</v>
      </c>
    </row>
    <row r="63" spans="2:26" x14ac:dyDescent="0.35">
      <c r="B63" s="208"/>
      <c r="C63" s="107" t="s">
        <v>129</v>
      </c>
      <c r="E63" s="11">
        <f>-Y40</f>
        <v>-267760.188878963</v>
      </c>
      <c r="F63" s="179" t="s">
        <v>229</v>
      </c>
      <c r="G63" s="107" t="s">
        <v>5</v>
      </c>
      <c r="H63" s="120">
        <f>'Input Data'!I27/1.041</f>
        <v>0</v>
      </c>
      <c r="I63" s="234">
        <f t="shared" ref="I63:I69" si="48">I62</f>
        <v>-2.2000000000000001E-3</v>
      </c>
      <c r="J63" s="63">
        <f t="shared" si="40"/>
        <v>0</v>
      </c>
      <c r="K63" s="119">
        <f>'Input Data'!W10</f>
        <v>208072.19999999995</v>
      </c>
      <c r="L63" s="233">
        <f t="shared" si="41"/>
        <v>-104036.09999999998</v>
      </c>
      <c r="M63" s="233">
        <f t="shared" si="42"/>
        <v>-104036.09999999998</v>
      </c>
      <c r="N63" s="233">
        <f>-($E$50+$E$51)/12</f>
        <v>-7167.8263630666152</v>
      </c>
      <c r="O63" s="44">
        <f t="shared" si="43"/>
        <v>-111203.9263630666</v>
      </c>
      <c r="P63" s="65">
        <f t="shared" si="44"/>
        <v>-111203.9263630666</v>
      </c>
      <c r="Q63" s="233">
        <f t="shared" si="45"/>
        <v>9396.7965539431316</v>
      </c>
      <c r="R63" s="121">
        <f>'Input Data'!$C$87/100/12</f>
        <v>4.15E-3</v>
      </c>
      <c r="S63" s="112">
        <f t="shared" si="47"/>
        <v>500.4930001055904</v>
      </c>
      <c r="T63" s="154">
        <f>$P$57*R63</f>
        <v>4223.9493068951442</v>
      </c>
      <c r="U63" s="11"/>
      <c r="V63" s="211"/>
      <c r="W63" t="s">
        <v>73</v>
      </c>
      <c r="X63" s="40">
        <f>-(E50+E51)</f>
        <v>-86013.916356799382</v>
      </c>
      <c r="Y63" s="21"/>
      <c r="Z63" t="s">
        <v>223</v>
      </c>
    </row>
    <row r="64" spans="2:26" x14ac:dyDescent="0.35">
      <c r="B64" s="208"/>
      <c r="C64" s="107" t="s">
        <v>130</v>
      </c>
      <c r="E64" s="11">
        <f>-Y41</f>
        <v>-6535.1171387315353</v>
      </c>
      <c r="F64" s="179" t="s">
        <v>230</v>
      </c>
      <c r="G64" s="107" t="s">
        <v>6</v>
      </c>
      <c r="H64" s="120">
        <f>'Input Data'!I28/1.041</f>
        <v>0</v>
      </c>
      <c r="I64" s="234">
        <f t="shared" si="48"/>
        <v>-2.2000000000000001E-3</v>
      </c>
      <c r="J64" s="63">
        <f t="shared" si="40"/>
        <v>0</v>
      </c>
      <c r="K64" s="119">
        <f>'Input Data'!W11</f>
        <v>256400.04</v>
      </c>
      <c r="L64" s="233">
        <f t="shared" si="41"/>
        <v>-128200.02</v>
      </c>
      <c r="M64" s="233">
        <f t="shared" si="42"/>
        <v>-128200.02</v>
      </c>
      <c r="N64" s="233">
        <f>-($E$50+$E$51)/12</f>
        <v>-7167.8263630666152</v>
      </c>
      <c r="O64" s="44">
        <f t="shared" si="43"/>
        <v>-135367.84636306661</v>
      </c>
      <c r="P64" s="65">
        <f t="shared" si="44"/>
        <v>-135367.84636306661</v>
      </c>
      <c r="Q64" s="233">
        <f t="shared" si="45"/>
        <v>-125971.04980912348</v>
      </c>
      <c r="R64" s="121">
        <f>'Input Data'!$C$88/100/12</f>
        <v>4.15E-3</v>
      </c>
      <c r="S64" s="112">
        <f t="shared" si="47"/>
        <v>38.996705698863998</v>
      </c>
      <c r="T64" s="154">
        <f t="shared" si="46"/>
        <v>4223.9493068951442</v>
      </c>
      <c r="U64" s="11"/>
      <c r="V64" s="211"/>
      <c r="W64" t="s">
        <v>34</v>
      </c>
      <c r="Y64" s="44">
        <f>X63+X62</f>
        <v>-1341317.5613567997</v>
      </c>
      <c r="Z64" t="s">
        <v>117</v>
      </c>
    </row>
    <row r="65" spans="2:26" x14ac:dyDescent="0.35">
      <c r="B65" s="208"/>
      <c r="C65" s="67" t="s">
        <v>203</v>
      </c>
      <c r="E65" s="26">
        <f>SUM(E62:E64)</f>
        <v>395550.41395230556</v>
      </c>
      <c r="F65" s="179"/>
      <c r="G65" s="107" t="s">
        <v>7</v>
      </c>
      <c r="H65" s="120">
        <f>'Input Data'!I29/1.041</f>
        <v>0</v>
      </c>
      <c r="I65" s="234">
        <f t="shared" si="48"/>
        <v>-2.2000000000000001E-3</v>
      </c>
      <c r="J65" s="63">
        <f t="shared" si="40"/>
        <v>0</v>
      </c>
      <c r="K65" s="119">
        <f>'Input Data'!W12</f>
        <v>388490.9</v>
      </c>
      <c r="L65" s="233">
        <f t="shared" si="41"/>
        <v>-194245.45</v>
      </c>
      <c r="M65" s="233">
        <f t="shared" si="42"/>
        <v>-194245.45</v>
      </c>
      <c r="N65" s="233">
        <f>-($E$50+$E$51)/12</f>
        <v>-7167.8263630666152</v>
      </c>
      <c r="O65" s="44">
        <f t="shared" si="43"/>
        <v>-201413.27636306663</v>
      </c>
      <c r="P65" s="65">
        <f t="shared" si="44"/>
        <v>-201413.27636306663</v>
      </c>
      <c r="Q65" s="233">
        <f t="shared" si="45"/>
        <v>-327384.32617219014</v>
      </c>
      <c r="R65" s="121">
        <f>'Input Data'!$C$88/100/12</f>
        <v>4.15E-3</v>
      </c>
      <c r="S65" s="112">
        <f t="shared" si="47"/>
        <v>-522.77985670786245</v>
      </c>
      <c r="T65" s="154">
        <f t="shared" si="46"/>
        <v>4223.9493068951442</v>
      </c>
      <c r="U65" s="11"/>
      <c r="V65" s="211"/>
      <c r="W65" t="s">
        <v>35</v>
      </c>
      <c r="Y65" s="72">
        <f>J70</f>
        <v>-552922.53356003854</v>
      </c>
      <c r="Z65" t="s">
        <v>204</v>
      </c>
    </row>
    <row r="66" spans="2:26" x14ac:dyDescent="0.35">
      <c r="B66" s="208"/>
      <c r="C66" s="107"/>
      <c r="F66" s="179"/>
      <c r="G66" s="107" t="s">
        <v>8</v>
      </c>
      <c r="H66" s="120">
        <f>'Input Data'!I30/1.041</f>
        <v>0</v>
      </c>
      <c r="I66" s="234">
        <f t="shared" si="48"/>
        <v>-2.2000000000000001E-3</v>
      </c>
      <c r="J66" s="63">
        <f t="shared" si="40"/>
        <v>0</v>
      </c>
      <c r="K66" s="119">
        <f>'Input Data'!W13</f>
        <v>202525.97</v>
      </c>
      <c r="L66" s="233">
        <f t="shared" si="41"/>
        <v>-101262.985</v>
      </c>
      <c r="M66" s="233">
        <f t="shared" si="42"/>
        <v>-101262.985</v>
      </c>
      <c r="N66" s="233">
        <f>-($E$50+$E$51)/12</f>
        <v>-7167.8263630666152</v>
      </c>
      <c r="O66" s="44">
        <f t="shared" si="43"/>
        <v>-108430.81136306662</v>
      </c>
      <c r="P66" s="65">
        <f t="shared" si="44"/>
        <v>-108430.81136306662</v>
      </c>
      <c r="Q66" s="233">
        <f t="shared" si="45"/>
        <v>-435815.13753525674</v>
      </c>
      <c r="R66" s="121">
        <f>'Input Data'!$C$88/100/12</f>
        <v>4.15E-3</v>
      </c>
      <c r="S66" s="112">
        <f t="shared" si="47"/>
        <v>-1358.644953614589</v>
      </c>
      <c r="T66" s="154">
        <f t="shared" si="46"/>
        <v>4223.9493068951442</v>
      </c>
      <c r="U66" s="11"/>
      <c r="V66" s="211"/>
      <c r="W66" t="s">
        <v>19</v>
      </c>
      <c r="Y66" s="85">
        <f>Y64-Y65</f>
        <v>-788395.02779676113</v>
      </c>
      <c r="Z66" t="s">
        <v>124</v>
      </c>
    </row>
    <row r="67" spans="2:26" x14ac:dyDescent="0.35">
      <c r="B67" s="208"/>
      <c r="C67" s="107" t="s">
        <v>128</v>
      </c>
      <c r="D67" s="124">
        <f>'Input Data'!G39</f>
        <v>182112496</v>
      </c>
      <c r="F67" s="179" t="s">
        <v>178</v>
      </c>
      <c r="G67" s="107" t="s">
        <v>9</v>
      </c>
      <c r="H67" s="120">
        <f>'Input Data'!I31/1.041</f>
        <v>0</v>
      </c>
      <c r="I67" s="234">
        <f t="shared" si="48"/>
        <v>-2.2000000000000001E-3</v>
      </c>
      <c r="J67" s="63">
        <f t="shared" si="40"/>
        <v>0</v>
      </c>
      <c r="K67" s="119">
        <f>'Input Data'!W14</f>
        <v>0</v>
      </c>
      <c r="L67" s="233">
        <f t="shared" si="41"/>
        <v>0</v>
      </c>
      <c r="M67" s="233">
        <f t="shared" si="42"/>
        <v>0</v>
      </c>
      <c r="N67" s="233">
        <f>-($E$50+$E$51)/12</f>
        <v>-7167.8263630666152</v>
      </c>
      <c r="O67" s="44">
        <f t="shared" si="43"/>
        <v>-7167.8263630666152</v>
      </c>
      <c r="P67" s="65">
        <f t="shared" si="44"/>
        <v>-7167.8263630666152</v>
      </c>
      <c r="Q67" s="233">
        <f t="shared" si="45"/>
        <v>-442982.96389832336</v>
      </c>
      <c r="R67" s="121">
        <f>'Input Data'!$C$89/100/12</f>
        <v>4.5750000000000001E-3</v>
      </c>
      <c r="S67" s="112">
        <f t="shared" si="47"/>
        <v>-1993.8542542237997</v>
      </c>
      <c r="T67" s="154">
        <f t="shared" si="46"/>
        <v>4656.5224286856101</v>
      </c>
      <c r="U67" s="11"/>
      <c r="V67" s="211"/>
      <c r="W67" t="s">
        <v>36</v>
      </c>
      <c r="Y67" s="44">
        <f>S70+T83</f>
        <v>-27830.177080454643</v>
      </c>
      <c r="Z67" t="s">
        <v>125</v>
      </c>
    </row>
    <row r="68" spans="2:26" x14ac:dyDescent="0.35">
      <c r="B68" s="208"/>
      <c r="C68" s="67"/>
      <c r="D68" s="4"/>
      <c r="F68" s="179"/>
      <c r="G68" s="107" t="s">
        <v>10</v>
      </c>
      <c r="H68" s="120">
        <f>'Input Data'!I32/1.041</f>
        <v>0</v>
      </c>
      <c r="I68" s="234">
        <f t="shared" si="48"/>
        <v>-2.2000000000000001E-3</v>
      </c>
      <c r="J68" s="63">
        <f t="shared" si="40"/>
        <v>0</v>
      </c>
      <c r="K68" s="119">
        <f>'Input Data'!W15</f>
        <v>0</v>
      </c>
      <c r="L68" s="233">
        <f t="shared" si="41"/>
        <v>0</v>
      </c>
      <c r="M68" s="233">
        <f t="shared" si="42"/>
        <v>0</v>
      </c>
      <c r="N68" s="233">
        <f>-($E$50+$E$51)/12</f>
        <v>-7167.8263630666152</v>
      </c>
      <c r="O68" s="44">
        <f t="shared" si="43"/>
        <v>-7167.8263630666152</v>
      </c>
      <c r="P68" s="65">
        <f t="shared" si="44"/>
        <v>-7167.8263630666152</v>
      </c>
      <c r="Q68" s="233">
        <f t="shared" si="45"/>
        <v>-450150.79026138998</v>
      </c>
      <c r="R68" s="121">
        <f>'Input Data'!$C$89/100/12</f>
        <v>4.5750000000000001E-3</v>
      </c>
      <c r="S68" s="112">
        <f t="shared" si="47"/>
        <v>-2026.6470598348294</v>
      </c>
      <c r="T68" s="154">
        <f t="shared" si="46"/>
        <v>4656.5224286856101</v>
      </c>
      <c r="U68" s="11"/>
      <c r="V68" s="212"/>
      <c r="W68" s="23"/>
      <c r="X68" s="23"/>
      <c r="Y68" s="24"/>
    </row>
    <row r="69" spans="2:26" x14ac:dyDescent="0.35">
      <c r="B69" s="208"/>
      <c r="C69" s="67" t="s">
        <v>213</v>
      </c>
      <c r="E69" s="25">
        <f>ROUND(-E65/D67,4)</f>
        <v>-2.2000000000000001E-3</v>
      </c>
      <c r="F69" s="178"/>
      <c r="G69" s="107" t="s">
        <v>11</v>
      </c>
      <c r="H69" s="120">
        <f>'Input Data'!I33/1.041</f>
        <v>0</v>
      </c>
      <c r="I69" s="234">
        <f t="shared" si="48"/>
        <v>-2.2000000000000001E-3</v>
      </c>
      <c r="J69" s="63">
        <f t="shared" si="40"/>
        <v>0</v>
      </c>
      <c r="K69" s="119">
        <f>'Input Data'!W16</f>
        <v>0</v>
      </c>
      <c r="L69" s="233">
        <f t="shared" si="41"/>
        <v>0</v>
      </c>
      <c r="M69" s="233">
        <f t="shared" si="42"/>
        <v>0</v>
      </c>
      <c r="N69" s="233">
        <f>-($E$50+$E$51)/12</f>
        <v>-7167.8263630666152</v>
      </c>
      <c r="O69" s="44">
        <f t="shared" si="43"/>
        <v>-7167.8263630666152</v>
      </c>
      <c r="P69" s="65">
        <f t="shared" si="44"/>
        <v>-7167.8263630666152</v>
      </c>
      <c r="Q69" s="233">
        <f t="shared" si="45"/>
        <v>-457318.6166244566</v>
      </c>
      <c r="R69" s="121">
        <f>'Input Data'!$C$89/100/12</f>
        <v>4.5750000000000001E-3</v>
      </c>
      <c r="S69" s="112">
        <f t="shared" si="47"/>
        <v>-2059.4398654458591</v>
      </c>
      <c r="T69" s="154">
        <f t="shared" si="46"/>
        <v>4656.5224286856101</v>
      </c>
      <c r="U69" s="11"/>
    </row>
    <row r="70" spans="2:26" ht="15" thickBot="1" x14ac:dyDescent="0.4">
      <c r="B70" s="209"/>
      <c r="C70" s="144"/>
      <c r="D70" s="145"/>
      <c r="E70" s="145"/>
      <c r="F70" s="177"/>
      <c r="G70" s="125" t="s">
        <v>14</v>
      </c>
      <c r="H70" s="126">
        <f>SUM(H58:H69)</f>
        <v>76935041.479346782</v>
      </c>
      <c r="I70" s="127"/>
      <c r="J70" s="128">
        <f t="shared" ref="J70:P70" si="49">SUM(J58:J69)</f>
        <v>-552922.53356003854</v>
      </c>
      <c r="K70" s="129">
        <f t="shared" si="49"/>
        <v>2510607.2900000005</v>
      </c>
      <c r="L70" s="130">
        <f t="shared" si="49"/>
        <v>-1255303.6450000003</v>
      </c>
      <c r="M70" s="130">
        <f t="shared" si="49"/>
        <v>-1255303.6450000003</v>
      </c>
      <c r="N70" s="130">
        <f t="shared" si="49"/>
        <v>245062.49481550494</v>
      </c>
      <c r="O70" s="128">
        <f t="shared" si="49"/>
        <v>-1010241.1501844949</v>
      </c>
      <c r="P70" s="129">
        <f t="shared" si="49"/>
        <v>-457318.6166244566</v>
      </c>
      <c r="Q70" s="131"/>
      <c r="R70" s="127"/>
      <c r="S70" s="130">
        <f>SUM(S58:S69)</f>
        <v>-2723.3850277719757</v>
      </c>
      <c r="T70" s="183">
        <f>SUM(T58:T69)</f>
        <v>51348.974104303619</v>
      </c>
      <c r="U70" s="12"/>
    </row>
    <row r="71" spans="2:26" x14ac:dyDescent="0.35">
      <c r="R71" s="121">
        <f>'Input Data'!$C$89/100/12</f>
        <v>4.5750000000000001E-3</v>
      </c>
      <c r="S71" s="112"/>
      <c r="T71" s="112">
        <f>$P$70*R71</f>
        <v>-2092.2326710568891</v>
      </c>
    </row>
    <row r="72" spans="2:26" x14ac:dyDescent="0.35">
      <c r="R72" s="121">
        <f>'Input Data'!$C$89/100/12</f>
        <v>4.5750000000000001E-3</v>
      </c>
      <c r="S72" s="112"/>
      <c r="T72" s="112">
        <f>$P$70*R72</f>
        <v>-2092.2326710568891</v>
      </c>
    </row>
    <row r="73" spans="2:26" x14ac:dyDescent="0.35">
      <c r="R73" s="121">
        <f>'Input Data'!$C$89/100/12</f>
        <v>4.5750000000000001E-3</v>
      </c>
      <c r="S73" s="112"/>
      <c r="T73" s="112">
        <f>$P$70*R73</f>
        <v>-2092.2326710568891</v>
      </c>
    </row>
    <row r="74" spans="2:26" x14ac:dyDescent="0.35">
      <c r="R74" s="121">
        <f>'Input Data'!$C$89/100/12</f>
        <v>4.5750000000000001E-3</v>
      </c>
      <c r="S74" s="112"/>
      <c r="T74" s="112">
        <f>$P$70*R74</f>
        <v>-2092.2326710568891</v>
      </c>
    </row>
    <row r="75" spans="2:26" x14ac:dyDescent="0.35">
      <c r="R75" s="121">
        <f>'Input Data'!$C$89/100/12</f>
        <v>4.5750000000000001E-3</v>
      </c>
      <c r="S75" s="112"/>
      <c r="T75" s="112">
        <f>$P$70*R75</f>
        <v>-2092.2326710568891</v>
      </c>
    </row>
    <row r="76" spans="2:26" x14ac:dyDescent="0.35">
      <c r="R76" s="121">
        <f>'Input Data'!$C$89/100/12</f>
        <v>4.5750000000000001E-3</v>
      </c>
      <c r="S76" s="112"/>
      <c r="T76" s="112">
        <f>$P$70*R76</f>
        <v>-2092.2326710568891</v>
      </c>
    </row>
    <row r="77" spans="2:26" x14ac:dyDescent="0.35">
      <c r="R77" s="121">
        <f>'Input Data'!$C$89/100/12</f>
        <v>4.5750000000000001E-3</v>
      </c>
      <c r="S77" s="112"/>
      <c r="T77" s="112">
        <f>$P$70*R77</f>
        <v>-2092.2326710568891</v>
      </c>
    </row>
    <row r="78" spans="2:26" x14ac:dyDescent="0.35">
      <c r="R78" s="121">
        <f>'Input Data'!$C$89/100/12</f>
        <v>4.5750000000000001E-3</v>
      </c>
      <c r="S78" s="112"/>
      <c r="T78" s="112">
        <f t="shared" ref="T72:T82" si="50">$P$70*R78</f>
        <v>-2092.2326710568891</v>
      </c>
    </row>
    <row r="79" spans="2:26" x14ac:dyDescent="0.35">
      <c r="R79" s="121">
        <f>'Input Data'!$C$89/100/12</f>
        <v>4.5750000000000001E-3</v>
      </c>
      <c r="S79" s="112"/>
      <c r="T79" s="112">
        <f t="shared" si="50"/>
        <v>-2092.2326710568891</v>
      </c>
    </row>
    <row r="80" spans="2:26" x14ac:dyDescent="0.35">
      <c r="R80" s="121">
        <f>'Input Data'!$C$89/100/12</f>
        <v>4.5750000000000001E-3</v>
      </c>
      <c r="S80" s="112"/>
      <c r="T80" s="112">
        <f>$P$70*R80</f>
        <v>-2092.2326710568891</v>
      </c>
    </row>
    <row r="81" spans="18:20" x14ac:dyDescent="0.35">
      <c r="R81" s="121">
        <f>'Input Data'!$C$89/100/12</f>
        <v>4.5750000000000001E-3</v>
      </c>
      <c r="S81" s="112"/>
      <c r="T81" s="112">
        <f>$P$70*R81</f>
        <v>-2092.2326710568891</v>
      </c>
    </row>
    <row r="82" spans="18:20" x14ac:dyDescent="0.35">
      <c r="R82" s="121">
        <f>'Input Data'!$C$89/100/12</f>
        <v>4.5750000000000001E-3</v>
      </c>
      <c r="S82" s="112"/>
      <c r="T82" s="112">
        <f>$P$70*R82</f>
        <v>-2092.2326710568891</v>
      </c>
    </row>
    <row r="83" spans="18:20" ht="15" thickBot="1" x14ac:dyDescent="0.4">
      <c r="R83" s="127"/>
      <c r="S83" s="130"/>
      <c r="T83" s="130">
        <f>SUM(T71:T82)</f>
        <v>-25106.792052682667</v>
      </c>
    </row>
  </sheetData>
  <mergeCells count="13">
    <mergeCell ref="V59:V68"/>
    <mergeCell ref="C2:D2"/>
    <mergeCell ref="V7:V16"/>
    <mergeCell ref="V20:V29"/>
    <mergeCell ref="B32:B44"/>
    <mergeCell ref="V33:V42"/>
    <mergeCell ref="V46:V55"/>
    <mergeCell ref="B45:B57"/>
    <mergeCell ref="B58:B70"/>
    <mergeCell ref="G2:T2"/>
    <mergeCell ref="C5:E5"/>
    <mergeCell ref="B6:B18"/>
    <mergeCell ref="B19:B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4759-371D-4784-AD28-F7585D08D019}">
  <sheetPr>
    <tabColor rgb="FFFFFF00"/>
  </sheetPr>
  <dimension ref="B1:I40"/>
  <sheetViews>
    <sheetView workbookViewId="0">
      <selection activeCell="D24" sqref="D24"/>
    </sheetView>
  </sheetViews>
  <sheetFormatPr defaultRowHeight="14.5" x14ac:dyDescent="0.35"/>
  <cols>
    <col min="2" max="2" width="32.453125" customWidth="1"/>
    <col min="3" max="3" width="35.81640625" bestFit="1" customWidth="1"/>
    <col min="4" max="4" width="15.453125" bestFit="1" customWidth="1"/>
    <col min="5" max="8" width="17.453125" bestFit="1" customWidth="1"/>
    <col min="9" max="9" width="40.1796875" bestFit="1" customWidth="1"/>
  </cols>
  <sheetData>
    <row r="1" spans="2:9" ht="15" thickBot="1" x14ac:dyDescent="0.4">
      <c r="H1" t="s">
        <v>94</v>
      </c>
    </row>
    <row r="2" spans="2:9" ht="15.5" x14ac:dyDescent="0.35">
      <c r="B2" s="89"/>
      <c r="C2" s="90" t="s">
        <v>102</v>
      </c>
      <c r="D2" s="91">
        <v>2019</v>
      </c>
      <c r="E2" s="92">
        <v>2020</v>
      </c>
      <c r="F2" s="92">
        <v>2021</v>
      </c>
      <c r="G2" s="92">
        <v>2022</v>
      </c>
      <c r="H2" s="93">
        <v>2023</v>
      </c>
    </row>
    <row r="3" spans="2:9" x14ac:dyDescent="0.35">
      <c r="B3" s="226" t="s">
        <v>219</v>
      </c>
      <c r="C3" s="48"/>
      <c r="D3" s="17"/>
      <c r="E3" s="18"/>
      <c r="F3" s="18"/>
      <c r="G3" s="18"/>
      <c r="H3" s="94"/>
    </row>
    <row r="4" spans="2:9" x14ac:dyDescent="0.35">
      <c r="B4" s="227"/>
      <c r="C4" s="49" t="s">
        <v>88</v>
      </c>
      <c r="D4" s="88">
        <f>'Alternate Historic PP True-Up'!D9</f>
        <v>0.10222000000000001</v>
      </c>
      <c r="E4" s="57">
        <f>'Alternate Historic PP True-Up'!D21</f>
        <v>0.10693999999999999</v>
      </c>
      <c r="F4" s="57">
        <f>'Alternate Historic PP True-Up'!D34</f>
        <v>0.10947</v>
      </c>
      <c r="G4" s="57">
        <f>'Alternate Historic PP True-Up'!D47</f>
        <v>6.8780000000000008E-2</v>
      </c>
      <c r="H4" s="95">
        <f>'Alternate Historic PP True-Up'!D60</f>
        <v>3.6040000000000003E-2</v>
      </c>
      <c r="I4" t="s">
        <v>84</v>
      </c>
    </row>
    <row r="5" spans="2:9" x14ac:dyDescent="0.35">
      <c r="B5" s="227"/>
      <c r="C5" s="49" t="s">
        <v>89</v>
      </c>
      <c r="D5" s="46">
        <f>'Alternate Historic PP True-Up'!D8</f>
        <v>47853390</v>
      </c>
      <c r="E5" s="42">
        <f>'Alternate Historic PP True-Up'!D20</f>
        <v>44476067</v>
      </c>
      <c r="F5" s="42">
        <f>'Alternate Historic PP True-Up'!D33</f>
        <v>39862344.666666657</v>
      </c>
      <c r="G5" s="42">
        <f>'Alternate Historic PP True-Up'!D46</f>
        <v>39935906</v>
      </c>
      <c r="H5" s="96">
        <f>'Alternate Historic PP True-Up'!D59</f>
        <v>37172348.5</v>
      </c>
      <c r="I5" t="s">
        <v>85</v>
      </c>
    </row>
    <row r="6" spans="2:9" x14ac:dyDescent="0.35">
      <c r="B6" s="227"/>
      <c r="C6" s="49"/>
      <c r="D6" s="20"/>
      <c r="H6" s="97"/>
      <c r="I6" s="11"/>
    </row>
    <row r="7" spans="2:9" x14ac:dyDescent="0.35">
      <c r="B7" s="227"/>
      <c r="C7" s="49" t="s">
        <v>150</v>
      </c>
      <c r="D7" s="45">
        <f>'Alternate Historic PP True-Up'!E11</f>
        <v>2445786.7629</v>
      </c>
      <c r="E7" s="41">
        <f>'Alternate Historic PP True-Up'!E23</f>
        <v>2378135.3024899997</v>
      </c>
      <c r="F7" s="41">
        <f>'Alternate Historic PP True-Up'!E36</f>
        <v>2181865.4353299993</v>
      </c>
      <c r="G7" s="41">
        <f>'Alternate Historic PP True-Up'!E49</f>
        <v>1373395.8073400001</v>
      </c>
      <c r="H7" s="133">
        <f>'Alternate Historic PP True-Up'!E62</f>
        <v>669845.71997000009</v>
      </c>
      <c r="I7" t="s">
        <v>87</v>
      </c>
    </row>
    <row r="8" spans="2:9" x14ac:dyDescent="0.35">
      <c r="B8" s="227"/>
      <c r="C8" s="49" t="s">
        <v>79</v>
      </c>
      <c r="D8" s="20"/>
      <c r="F8" s="11"/>
      <c r="G8" s="11">
        <f>D25</f>
        <v>-907215.31716011383</v>
      </c>
      <c r="H8" s="69">
        <f>E25</f>
        <v>86013.916356799382</v>
      </c>
      <c r="I8" t="s">
        <v>86</v>
      </c>
    </row>
    <row r="9" spans="2:9" x14ac:dyDescent="0.35">
      <c r="B9" s="227"/>
      <c r="C9" s="50" t="s">
        <v>215</v>
      </c>
      <c r="D9" s="47">
        <f>D7+D8</f>
        <v>2445786.7629</v>
      </c>
      <c r="E9" s="12">
        <f>E7+E8</f>
        <v>2378135.3024899997</v>
      </c>
      <c r="F9" s="12">
        <f>F7+F8</f>
        <v>2181865.4353299993</v>
      </c>
      <c r="G9" s="12">
        <f>G7+G8</f>
        <v>466180.49017988623</v>
      </c>
      <c r="H9" s="99">
        <f>H7+H8</f>
        <v>755859.63632679952</v>
      </c>
      <c r="I9" t="s">
        <v>156</v>
      </c>
    </row>
    <row r="10" spans="2:9" x14ac:dyDescent="0.35">
      <c r="B10" s="227"/>
      <c r="C10" s="49"/>
      <c r="D10" s="20"/>
      <c r="H10" s="97"/>
    </row>
    <row r="11" spans="2:9" x14ac:dyDescent="0.35">
      <c r="B11" s="227"/>
      <c r="C11" s="49" t="s">
        <v>90</v>
      </c>
      <c r="D11" s="46">
        <f>'Alternate Historic PP True-Up'!D14</f>
        <v>177934181</v>
      </c>
      <c r="E11" s="42">
        <f>'Alternate Historic PP True-Up'!D28</f>
        <v>185198705</v>
      </c>
      <c r="F11" s="42">
        <f>'Alternate Historic PP True-Up'!D41</f>
        <v>183512928</v>
      </c>
      <c r="G11" s="42">
        <f>'Alternate Historic PP True-Up'!D54</f>
        <v>178353238</v>
      </c>
      <c r="H11" s="96">
        <f>'Alternate Historic PP True-Up'!D67</f>
        <v>182112496</v>
      </c>
      <c r="I11" t="s">
        <v>83</v>
      </c>
    </row>
    <row r="12" spans="2:9" x14ac:dyDescent="0.35">
      <c r="B12" s="227"/>
      <c r="C12" s="49"/>
      <c r="D12" s="20"/>
      <c r="H12" s="97"/>
    </row>
    <row r="13" spans="2:9" x14ac:dyDescent="0.35">
      <c r="B13" s="228"/>
      <c r="C13" s="52" t="s">
        <v>216</v>
      </c>
      <c r="D13" s="58">
        <f>-D9/D11</f>
        <v>-1.3745457725741856E-2</v>
      </c>
      <c r="E13" s="59">
        <f>-E9/E11</f>
        <v>-1.284099315105902E-2</v>
      </c>
      <c r="F13" s="59">
        <f>-F9/F11</f>
        <v>-1.1889437213546064E-2</v>
      </c>
      <c r="G13" s="59">
        <f>-G9/G11</f>
        <v>-2.613804466952746E-3</v>
      </c>
      <c r="H13" s="100">
        <f>-H9/H11</f>
        <v>-4.150509453930056E-3</v>
      </c>
      <c r="I13" t="s">
        <v>217</v>
      </c>
    </row>
    <row r="14" spans="2:9" x14ac:dyDescent="0.35">
      <c r="B14" s="226" t="s">
        <v>74</v>
      </c>
      <c r="C14" s="49"/>
      <c r="D14" s="55"/>
      <c r="E14" s="56"/>
      <c r="F14" s="56"/>
      <c r="G14" s="56"/>
      <c r="H14" s="101"/>
    </row>
    <row r="15" spans="2:9" x14ac:dyDescent="0.35">
      <c r="B15" s="227"/>
      <c r="C15" s="49" t="s">
        <v>68</v>
      </c>
      <c r="D15" s="45">
        <f>-'Alternate Historic PP True-Up'!X10</f>
        <v>1645256.35</v>
      </c>
      <c r="E15" s="41">
        <f>-'Alternate Historic PP True-Up'!X23</f>
        <v>2437392.29</v>
      </c>
      <c r="F15" s="41">
        <f>-'Alternate Historic PP True-Up'!X36</f>
        <v>1339300.1649999996</v>
      </c>
      <c r="G15" s="41">
        <f>-'Alternate Historic PP True-Up'!X49</f>
        <v>1016589.5199999998</v>
      </c>
      <c r="H15" s="98">
        <f>-'Alternate Historic PP True-Up'!X62</f>
        <v>1255303.6450000003</v>
      </c>
      <c r="I15" t="s">
        <v>82</v>
      </c>
    </row>
    <row r="16" spans="2:9" x14ac:dyDescent="0.35">
      <c r="B16" s="227"/>
      <c r="C16" s="49" t="s">
        <v>80</v>
      </c>
      <c r="D16" s="45"/>
      <c r="E16" s="41"/>
      <c r="F16" s="11"/>
      <c r="G16" s="11">
        <f>D25</f>
        <v>-907215.31716011383</v>
      </c>
      <c r="H16" s="69">
        <f>E25</f>
        <v>86013.916356799382</v>
      </c>
      <c r="I16" t="s">
        <v>86</v>
      </c>
    </row>
    <row r="17" spans="2:9" x14ac:dyDescent="0.35">
      <c r="B17" s="227"/>
      <c r="C17" s="50" t="s">
        <v>81</v>
      </c>
      <c r="D17" s="45">
        <f>D15+D16</f>
        <v>1645256.35</v>
      </c>
      <c r="E17" s="41">
        <f>E15+E16</f>
        <v>2437392.29</v>
      </c>
      <c r="F17" s="11">
        <f>F15+F16</f>
        <v>1339300.1649999996</v>
      </c>
      <c r="G17" s="11">
        <f>G15+G16</f>
        <v>109374.20283988595</v>
      </c>
      <c r="H17" s="69">
        <f>H15+H16</f>
        <v>1341317.5613567997</v>
      </c>
      <c r="I17" t="s">
        <v>155</v>
      </c>
    </row>
    <row r="18" spans="2:9" x14ac:dyDescent="0.35">
      <c r="B18" s="227"/>
      <c r="C18" s="49"/>
      <c r="D18" s="45"/>
      <c r="E18" s="41"/>
      <c r="F18" s="41"/>
      <c r="G18" s="41"/>
      <c r="H18" s="98"/>
    </row>
    <row r="19" spans="2:9" x14ac:dyDescent="0.35">
      <c r="B19" s="227"/>
      <c r="C19" s="50" t="s">
        <v>67</v>
      </c>
      <c r="D19" s="45">
        <f>-'Alternate Historic PP True-Up'!Y13</f>
        <v>2530251.0200144099</v>
      </c>
      <c r="E19" s="41">
        <f>-'Alternate Historic PP True-Up'!Y26</f>
        <v>2350359.5619721427</v>
      </c>
      <c r="F19" s="41">
        <f>-'Alternate Historic PP True-Up'!Y39</f>
        <v>1607060.3538789626</v>
      </c>
      <c r="G19" s="41">
        <f>-'Alternate Historic PP True-Up'!Y52</f>
        <v>1429598.4186551394</v>
      </c>
      <c r="H19" s="98">
        <f>-'Alternate Historic PP True-Up'!Y65</f>
        <v>552922.53356003854</v>
      </c>
      <c r="I19" t="s">
        <v>82</v>
      </c>
    </row>
    <row r="20" spans="2:9" x14ac:dyDescent="0.35">
      <c r="B20" s="227"/>
      <c r="C20" s="51"/>
      <c r="D20" s="22"/>
      <c r="E20" s="23"/>
      <c r="F20" s="23"/>
      <c r="G20" s="23"/>
      <c r="H20" s="102"/>
    </row>
    <row r="21" spans="2:9" x14ac:dyDescent="0.35">
      <c r="B21" s="227"/>
      <c r="C21" s="49"/>
      <c r="D21" s="20"/>
      <c r="H21" s="97"/>
    </row>
    <row r="22" spans="2:9" x14ac:dyDescent="0.35">
      <c r="B22" s="227"/>
      <c r="C22" s="49" t="s">
        <v>19</v>
      </c>
      <c r="D22" s="46">
        <f>D17-D19</f>
        <v>-884994.67001440981</v>
      </c>
      <c r="E22" s="42">
        <f>E17-E19</f>
        <v>87032.728027857374</v>
      </c>
      <c r="F22" s="42">
        <f>F17-F19</f>
        <v>-267760.188878963</v>
      </c>
      <c r="G22" s="42">
        <f>G17-G19</f>
        <v>-1320224.2158152536</v>
      </c>
      <c r="H22" s="96">
        <f>H17-H19</f>
        <v>788395.02779676113</v>
      </c>
      <c r="I22" t="s">
        <v>82</v>
      </c>
    </row>
    <row r="23" spans="2:9" x14ac:dyDescent="0.35">
      <c r="B23" s="227"/>
      <c r="C23" s="49" t="s">
        <v>36</v>
      </c>
      <c r="D23" s="46">
        <f>-'Alternate Historic PP True-Up'!S18</f>
        <v>-10051.970433005787</v>
      </c>
      <c r="E23" s="42">
        <f>-'Alternate Historic PP True-Up'!S31</f>
        <v>-1514.8982208167859</v>
      </c>
      <c r="F23" s="42">
        <f>-'Alternate Historic PP True-Up'!S44</f>
        <v>-1407.5095216994</v>
      </c>
      <c r="G23" s="42">
        <f>-'Alternate Historic PP True-Up'!S57</f>
        <v>-8269.0233315894238</v>
      </c>
      <c r="H23" s="96">
        <f>-'Alternate Historic PP True-Up'!S70</f>
        <v>2723.3850277719757</v>
      </c>
      <c r="I23" t="s">
        <v>82</v>
      </c>
    </row>
    <row r="24" spans="2:9" x14ac:dyDescent="0.35">
      <c r="B24" s="227"/>
      <c r="C24" s="49" t="s">
        <v>69</v>
      </c>
      <c r="D24" s="46">
        <f>-'Alternate Historic PP True-Up'!T31</f>
        <v>-12168.676712698134</v>
      </c>
      <c r="E24" s="42">
        <f>-'Alternate Historic PP True-Up'!T44</f>
        <v>496.08654975878994</v>
      </c>
      <c r="F24" s="42">
        <f>-'Alternate Historic PP True-Up'!T57</f>
        <v>-5127.6076170321357</v>
      </c>
      <c r="G24" s="42">
        <f>-'Alternate Historic PP True-Up'!T70</f>
        <v>-51348.974104303619</v>
      </c>
      <c r="H24" s="96">
        <f>-'Alternate Historic PP True-Up'!T83</f>
        <v>25106.792052682667</v>
      </c>
      <c r="I24" t="s">
        <v>82</v>
      </c>
    </row>
    <row r="25" spans="2:9" x14ac:dyDescent="0.35">
      <c r="B25" s="227"/>
      <c r="C25" s="50" t="s">
        <v>70</v>
      </c>
      <c r="D25" s="47">
        <f>SUM(D22:D24)</f>
        <v>-907215.31716011383</v>
      </c>
      <c r="E25" s="12">
        <f>SUM(E22:E24)</f>
        <v>86013.916356799382</v>
      </c>
      <c r="F25" s="12">
        <f>SUM(F22:F24)</f>
        <v>-274295.30601769453</v>
      </c>
      <c r="G25" s="12">
        <f>SUM(G22:G24)</f>
        <v>-1379842.2132511467</v>
      </c>
      <c r="H25" s="99">
        <f>SUM(H22:H24)</f>
        <v>816225.20487721579</v>
      </c>
    </row>
    <row r="26" spans="2:9" ht="15" thickBot="1" x14ac:dyDescent="0.4">
      <c r="B26" s="229"/>
      <c r="C26" s="103"/>
      <c r="D26" s="104"/>
      <c r="E26" s="105"/>
      <c r="F26" s="105"/>
      <c r="G26" s="105"/>
      <c r="H26" s="71"/>
    </row>
    <row r="28" spans="2:9" x14ac:dyDescent="0.35">
      <c r="D28" s="149">
        <f>D2</f>
        <v>2019</v>
      </c>
      <c r="E28" s="149">
        <f>E2</f>
        <v>2020</v>
      </c>
      <c r="F28" s="149">
        <f>F2</f>
        <v>2021</v>
      </c>
      <c r="G28" s="149">
        <f>G2</f>
        <v>2022</v>
      </c>
      <c r="H28" s="149">
        <f>H2</f>
        <v>2023</v>
      </c>
    </row>
    <row r="29" spans="2:9" x14ac:dyDescent="0.35">
      <c r="B29" s="17" t="s">
        <v>218</v>
      </c>
      <c r="C29" s="18"/>
      <c r="D29" s="18"/>
      <c r="E29" s="18"/>
      <c r="F29" s="18"/>
      <c r="G29" s="18"/>
      <c r="H29" s="19"/>
    </row>
    <row r="30" spans="2:9" x14ac:dyDescent="0.35">
      <c r="B30" s="20"/>
      <c r="C30" s="184" t="str">
        <f t="shared" ref="C30:H30" si="0">C7</f>
        <v>Forecast net GA Savings</v>
      </c>
      <c r="D30" s="11">
        <f t="shared" si="0"/>
        <v>2445786.7629</v>
      </c>
      <c r="E30" s="11">
        <f t="shared" si="0"/>
        <v>2378135.3024899997</v>
      </c>
      <c r="F30" s="11">
        <f t="shared" si="0"/>
        <v>2181865.4353299993</v>
      </c>
      <c r="G30" s="11">
        <f t="shared" si="0"/>
        <v>1373395.8073400001</v>
      </c>
      <c r="H30" s="44">
        <f t="shared" si="0"/>
        <v>669845.71997000009</v>
      </c>
    </row>
    <row r="31" spans="2:9" x14ac:dyDescent="0.35">
      <c r="B31" s="20"/>
      <c r="C31" s="184" t="s">
        <v>91</v>
      </c>
      <c r="D31" s="41">
        <f>-'Alternate Historic PP True-Up'!Y12-'Alternate Historic PP True-Up'!E11</f>
        <v>-800530.41289999988</v>
      </c>
      <c r="E31" s="41">
        <f>-'Alternate Historic PP True-Up'!Y25-'Alternate Historic PP True-Up'!E23</f>
        <v>59256.987510000356</v>
      </c>
      <c r="F31" s="41">
        <f>-'Alternate Historic PP True-Up'!Y38-'Alternate Historic PP True-Up'!E39</f>
        <v>64650.046830113977</v>
      </c>
      <c r="G31" s="41">
        <f>-'Alternate Historic PP True-Up'!Y51-'Alternate Historic PP True-Up'!E52</f>
        <v>-1350035.5208569134</v>
      </c>
      <c r="H31" s="43">
        <f>-'Alternate Historic PP True-Up'!Y64-'Alternate Historic PP True-Up'!E65</f>
        <v>945767.14740449411</v>
      </c>
    </row>
    <row r="32" spans="2:9" x14ac:dyDescent="0.35">
      <c r="B32" s="20"/>
      <c r="C32" s="184" t="str">
        <f>C19</f>
        <v>Actual credited to customers</v>
      </c>
      <c r="D32" s="11">
        <f>-D19</f>
        <v>-2530251.0200144099</v>
      </c>
      <c r="E32" s="11">
        <f>-E19</f>
        <v>-2350359.5619721427</v>
      </c>
      <c r="F32" s="11">
        <f>-F19</f>
        <v>-1607060.3538789626</v>
      </c>
      <c r="G32" s="11">
        <f>-G19</f>
        <v>-1429598.4186551394</v>
      </c>
      <c r="H32" s="44">
        <f>-H19</f>
        <v>-552922.53356003854</v>
      </c>
    </row>
    <row r="33" spans="2:8" x14ac:dyDescent="0.35">
      <c r="B33" s="20"/>
      <c r="C33" t="s">
        <v>19</v>
      </c>
      <c r="D33" s="11">
        <f>SUM(D30:D32)</f>
        <v>-884994.67001440981</v>
      </c>
      <c r="E33" s="11">
        <f>SUM(E30:E32)</f>
        <v>87032.728027857374</v>
      </c>
      <c r="F33" s="11">
        <f>SUM(F30:F32)</f>
        <v>639455.12828115071</v>
      </c>
      <c r="G33" s="11">
        <f>SUM(G30:G32)</f>
        <v>-1406238.1321720527</v>
      </c>
      <c r="H33" s="44">
        <f>SUM(H30:H32)</f>
        <v>1062690.3338144557</v>
      </c>
    </row>
    <row r="34" spans="2:8" x14ac:dyDescent="0.35">
      <c r="B34" s="20"/>
      <c r="C34" t="s">
        <v>93</v>
      </c>
      <c r="D34" s="41">
        <f>D23</f>
        <v>-10051.970433005787</v>
      </c>
      <c r="E34" s="41">
        <f>E23</f>
        <v>-1514.8982208167859</v>
      </c>
      <c r="F34" s="41">
        <f>F23</f>
        <v>-1407.5095216994</v>
      </c>
      <c r="G34" s="41">
        <f>G23</f>
        <v>-8269.0233315894238</v>
      </c>
      <c r="H34" s="43">
        <f>H23</f>
        <v>2723.3850277719757</v>
      </c>
    </row>
    <row r="35" spans="2:8" x14ac:dyDescent="0.35">
      <c r="B35" s="20"/>
      <c r="C35" t="s">
        <v>195</v>
      </c>
      <c r="D35" s="41"/>
      <c r="E35" s="41">
        <f>-'Alternate Historic PP True-Up'!T31</f>
        <v>-12168.676712698134</v>
      </c>
      <c r="F35" s="41">
        <f>-'Alternate Historic PP True-Up'!T44</f>
        <v>496.08654975878994</v>
      </c>
      <c r="G35" s="41">
        <f>-'Alternate Historic PP True-Up'!T57</f>
        <v>-5127.6076170321357</v>
      </c>
      <c r="H35" s="43">
        <f>-'Alternate Historic PP True-Up'!T70</f>
        <v>-51348.974104303619</v>
      </c>
    </row>
    <row r="36" spans="2:8" x14ac:dyDescent="0.35">
      <c r="B36" s="20"/>
      <c r="C36" s="184" t="s">
        <v>73</v>
      </c>
      <c r="D36" s="11"/>
      <c r="E36" s="11"/>
      <c r="F36" s="11"/>
      <c r="G36" s="11">
        <f>-(D33+D34+E35)</f>
        <v>907215.31716011383</v>
      </c>
      <c r="H36" s="44">
        <f>-(E33+E34+F35)</f>
        <v>-86013.916356799382</v>
      </c>
    </row>
    <row r="37" spans="2:8" x14ac:dyDescent="0.35">
      <c r="B37" s="22"/>
      <c r="C37" s="106" t="s">
        <v>92</v>
      </c>
      <c r="D37" s="53">
        <f>SUM(D30:D36)</f>
        <v>-1780041.3104618255</v>
      </c>
      <c r="E37" s="53">
        <f>SUM(E30:E36)</f>
        <v>160381.88112219985</v>
      </c>
      <c r="F37" s="53">
        <f>SUM(F30:F36)</f>
        <v>1277998.8335903606</v>
      </c>
      <c r="G37" s="53">
        <f>SUM(G30:G36)</f>
        <v>-1918657.5781326136</v>
      </c>
      <c r="H37" s="54">
        <f>SUM(H30:H36)</f>
        <v>1990741.1621955801</v>
      </c>
    </row>
    <row r="40" spans="2:8" x14ac:dyDescent="0.35">
      <c r="H40" s="169"/>
    </row>
  </sheetData>
  <mergeCells count="2">
    <mergeCell ref="B3:B13"/>
    <mergeCell ref="B14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 Data</vt:lpstr>
      <vt:lpstr>Power Purchased True-Up</vt:lpstr>
      <vt:lpstr>2023-24 Overcollection</vt:lpstr>
      <vt:lpstr>Alternate Historic PP True-Up</vt:lpstr>
      <vt:lpstr>Alt. Historic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2023-09-29T16:45:48Z</dcterms:created>
  <dcterms:modified xsi:type="dcterms:W3CDTF">2024-01-26T22:16:47Z</dcterms:modified>
</cp:coreProperties>
</file>