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X:\Finance\Regulatory Documents\Cost of Service Files\2024 COS\09 - Interrogatory Responses &amp; Updated Models\IR Appendices\"/>
    </mc:Choice>
  </mc:AlternateContent>
  <xr:revisionPtr revIDLastSave="0" documentId="13_ncr:1_{43B4A63D-4034-43D2-94BE-8A67DA6B7691}" xr6:coauthVersionLast="47" xr6:coauthVersionMax="47" xr10:uidLastSave="{00000000-0000-0000-0000-000000000000}"/>
  <bookViews>
    <workbookView xWindow="57480" yWindow="-120" windowWidth="29040" windowHeight="15720" tabRatio="694" activeTab="6" xr2:uid="{00000000-000D-0000-FFFF-FFFF00000000}"/>
  </bookViews>
  <sheets>
    <sheet name="Table of Contents" sheetId="1" r:id="rId1"/>
    <sheet name="Assumptions" sheetId="19" r:id="rId2"/>
    <sheet name="Engineering Inputs" sheetId="23" r:id="rId3"/>
    <sheet name="Baseline Inputs" sheetId="9" r:id="rId4"/>
    <sheet name="Developer Summary" sheetId="20" state="hidden" r:id="rId5"/>
    <sheet name="OTC Summary" sheetId="24" r:id="rId6"/>
    <sheet name="Project Summary" sheetId="10" r:id="rId7"/>
    <sheet name="Revenue " sheetId="8" r:id="rId8"/>
    <sheet name="OMADI" sheetId="15" r:id="rId9"/>
    <sheet name="Municipal Tax" sheetId="13" r:id="rId10"/>
    <sheet name="CCA &amp; Cap Tax" sheetId="4" r:id="rId11"/>
    <sheet name="Dep'n &amp; Int" sheetId="3" r:id="rId12"/>
    <sheet name="Income Tax &amp; CCA Tax Shield" sheetId="14" r:id="rId13"/>
    <sheet name="Expansion Deposit" sheetId="18" r:id="rId14"/>
    <sheet name="NPV Cash Flow Anal" sheetId="2" r:id="rId15"/>
    <sheet name="Mid Year PV Factor" sheetId="11" r:id="rId16"/>
    <sheet name="Contribution CCA &amp; Cap Tax" sheetId="21" r:id="rId17"/>
  </sheets>
  <definedNames>
    <definedName name="_xlnm.Print_Area" localSheetId="1">Assumptions!$A$1:$M$112</definedName>
    <definedName name="_xlnm.Print_Area" localSheetId="4">'Developer Summary'!$A$1:$K$41</definedName>
    <definedName name="_xlnm.Print_Area" localSheetId="14">'NPV Cash Flow Anal'!$A$5:$L$31</definedName>
    <definedName name="_xlnm.Print_Area" localSheetId="6">'Project Summary'!$A$1:$H$59</definedName>
  </definedNames>
  <calcPr calcId="191029"/>
  <customWorkbookViews>
    <customWorkbookView name="Bruce Bacon - Personal View" guid="{183997E1-9CCE-11D3-BD95-0000861AD9C2}" mergeInterval="0" personalView="1" maximized="1" windowWidth="796" windowHeight="438" activeSheetId="2"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5" i="19" l="1"/>
  <c r="C106" i="19" l="1"/>
  <c r="D70" i="19" s="1"/>
  <c r="A52" i="10"/>
  <c r="H52" i="10"/>
  <c r="A53" i="10"/>
  <c r="H53" i="10"/>
  <c r="A54" i="10"/>
  <c r="H54" i="10"/>
  <c r="A55" i="10"/>
  <c r="H55" i="10"/>
  <c r="A56" i="10"/>
  <c r="H56" i="10"/>
  <c r="A57" i="10"/>
  <c r="H57" i="10"/>
  <c r="A1" i="24"/>
  <c r="D110" i="9"/>
  <c r="D111" i="9"/>
  <c r="D112" i="9"/>
  <c r="D109" i="9"/>
  <c r="C109" i="9"/>
  <c r="D97" i="9"/>
  <c r="D98" i="9"/>
  <c r="D99" i="9"/>
  <c r="D96" i="9"/>
  <c r="C96" i="9"/>
  <c r="D84" i="9"/>
  <c r="D85" i="9"/>
  <c r="D86" i="9"/>
  <c r="D83" i="9"/>
  <c r="C83" i="9"/>
  <c r="B71" i="9"/>
  <c r="B84" i="9" s="1"/>
  <c r="B97" i="9" s="1"/>
  <c r="B110" i="9" s="1"/>
  <c r="C71" i="9"/>
  <c r="C84" i="9" s="1"/>
  <c r="C97" i="9" s="1"/>
  <c r="C110" i="9" s="1"/>
  <c r="D71" i="9"/>
  <c r="B72" i="9"/>
  <c r="B85" i="9" s="1"/>
  <c r="B98" i="9" s="1"/>
  <c r="B111" i="9" s="1"/>
  <c r="C72" i="9"/>
  <c r="C85" i="9" s="1"/>
  <c r="C98" i="9" s="1"/>
  <c r="C111" i="9" s="1"/>
  <c r="D72" i="9"/>
  <c r="B73" i="9"/>
  <c r="B86" i="9" s="1"/>
  <c r="B99" i="9" s="1"/>
  <c r="B112" i="9" s="1"/>
  <c r="C73" i="9"/>
  <c r="C86" i="9" s="1"/>
  <c r="C99" i="9" s="1"/>
  <c r="C112" i="9" s="1"/>
  <c r="D73" i="9"/>
  <c r="C70" i="9"/>
  <c r="D70" i="9"/>
  <c r="B70" i="9"/>
  <c r="B83" i="9" s="1"/>
  <c r="B96" i="9" s="1"/>
  <c r="B109" i="9" s="1"/>
  <c r="B191" i="9"/>
  <c r="C191" i="9"/>
  <c r="D191" i="9"/>
  <c r="E191" i="9" l="1"/>
  <c r="F191" i="9"/>
  <c r="C192" i="9"/>
  <c r="D192" i="9"/>
  <c r="E192" i="9"/>
  <c r="F192" i="9"/>
  <c r="C193" i="9"/>
  <c r="D193" i="9"/>
  <c r="E193" i="9"/>
  <c r="F193" i="9"/>
  <c r="C194" i="9"/>
  <c r="D194" i="9"/>
  <c r="E194" i="9"/>
  <c r="F194" i="9"/>
  <c r="B192" i="9"/>
  <c r="B193" i="9"/>
  <c r="B194" i="9"/>
  <c r="C230" i="9" l="1"/>
  <c r="D230" i="9"/>
  <c r="E230" i="9"/>
  <c r="F230" i="9"/>
  <c r="B230" i="9"/>
  <c r="F40" i="23"/>
  <c r="E40" i="23"/>
  <c r="D40" i="23"/>
  <c r="C40" i="23"/>
  <c r="C218" i="9"/>
  <c r="D218" i="9"/>
  <c r="E218" i="9"/>
  <c r="F218" i="9"/>
  <c r="C219" i="9"/>
  <c r="D219" i="9"/>
  <c r="E219" i="9"/>
  <c r="F219" i="9"/>
  <c r="C220" i="9"/>
  <c r="D220" i="9"/>
  <c r="E220" i="9"/>
  <c r="F220" i="9"/>
  <c r="C221" i="9"/>
  <c r="D221" i="9"/>
  <c r="E221" i="9"/>
  <c r="F221" i="9"/>
  <c r="C222" i="9"/>
  <c r="D222" i="9"/>
  <c r="E222" i="9"/>
  <c r="F222" i="9"/>
  <c r="C223" i="9"/>
  <c r="D223" i="9"/>
  <c r="E223" i="9"/>
  <c r="F223" i="9"/>
  <c r="C224" i="9"/>
  <c r="D224" i="9"/>
  <c r="E224" i="9"/>
  <c r="F224" i="9"/>
  <c r="C225" i="9"/>
  <c r="D225" i="9"/>
  <c r="E225" i="9"/>
  <c r="F225" i="9"/>
  <c r="C226" i="9"/>
  <c r="D226" i="9"/>
  <c r="E226" i="9"/>
  <c r="F226" i="9"/>
  <c r="C227" i="9"/>
  <c r="D227" i="9"/>
  <c r="E227" i="9"/>
  <c r="F227" i="9"/>
  <c r="B219" i="9"/>
  <c r="B220" i="9"/>
  <c r="B221" i="9"/>
  <c r="B222" i="9"/>
  <c r="B223" i="9"/>
  <c r="B224" i="9"/>
  <c r="B225" i="9"/>
  <c r="B226" i="9"/>
  <c r="B227" i="9"/>
  <c r="B218" i="9"/>
  <c r="C206" i="9"/>
  <c r="D206" i="9"/>
  <c r="E206" i="9"/>
  <c r="F206" i="9"/>
  <c r="C207" i="9"/>
  <c r="D207" i="9"/>
  <c r="E207" i="9"/>
  <c r="F207" i="9"/>
  <c r="C208" i="9"/>
  <c r="D208" i="9"/>
  <c r="E208" i="9"/>
  <c r="F208" i="9"/>
  <c r="C209" i="9"/>
  <c r="D209" i="9"/>
  <c r="E209" i="9"/>
  <c r="F209" i="9"/>
  <c r="C210" i="9"/>
  <c r="D210" i="9"/>
  <c r="E210" i="9"/>
  <c r="F210" i="9"/>
  <c r="C211" i="9"/>
  <c r="D211" i="9"/>
  <c r="E211" i="9"/>
  <c r="F211" i="9"/>
  <c r="C212" i="9"/>
  <c r="D212" i="9"/>
  <c r="E212" i="9"/>
  <c r="F212" i="9"/>
  <c r="C213" i="9"/>
  <c r="D213" i="9"/>
  <c r="E213" i="9"/>
  <c r="F213" i="9"/>
  <c r="C214" i="9"/>
  <c r="D214" i="9"/>
  <c r="E214" i="9"/>
  <c r="F214" i="9"/>
  <c r="D205" i="9"/>
  <c r="E205" i="9"/>
  <c r="F205" i="9"/>
  <c r="C205" i="9"/>
  <c r="B206" i="9"/>
  <c r="B207" i="9"/>
  <c r="B208" i="9"/>
  <c r="B209" i="9"/>
  <c r="B210" i="9"/>
  <c r="B211" i="9"/>
  <c r="B212" i="9"/>
  <c r="B213" i="9"/>
  <c r="B214" i="9"/>
  <c r="B205" i="9"/>
  <c r="A27" i="23"/>
  <c r="A28" i="23"/>
  <c r="A29" i="23"/>
  <c r="A30" i="23"/>
  <c r="A31" i="23"/>
  <c r="A32" i="23"/>
  <c r="A33" i="23"/>
  <c r="A34" i="23"/>
  <c r="A35" i="23"/>
  <c r="A26" i="23"/>
  <c r="A14" i="23"/>
  <c r="A15" i="23"/>
  <c r="A16" i="23"/>
  <c r="A17" i="23"/>
  <c r="A18" i="23"/>
  <c r="A19" i="23"/>
  <c r="A20" i="23"/>
  <c r="A21" i="23"/>
  <c r="A22" i="23"/>
  <c r="A13" i="23"/>
  <c r="F36" i="23"/>
  <c r="E36" i="23"/>
  <c r="D36" i="23"/>
  <c r="C36" i="23"/>
  <c r="B36" i="23"/>
  <c r="C25" i="23"/>
  <c r="D25" i="23" s="1"/>
  <c r="E25" i="23" s="1"/>
  <c r="F25" i="23" s="1"/>
  <c r="F23" i="23"/>
  <c r="E23" i="23"/>
  <c r="D23" i="23"/>
  <c r="C23" i="23"/>
  <c r="B23" i="23"/>
  <c r="C12" i="23"/>
  <c r="D12" i="23" s="1"/>
  <c r="E12" i="23" s="1"/>
  <c r="F12" i="23" s="1"/>
  <c r="A7" i="23"/>
  <c r="A8" i="23"/>
  <c r="A9" i="23"/>
  <c r="A6" i="23"/>
  <c r="E5" i="23"/>
  <c r="F5" i="23" s="1"/>
  <c r="C8" i="9"/>
  <c r="B5" i="9"/>
  <c r="B3" i="9"/>
  <c r="A5" i="24" s="1"/>
  <c r="B40" i="23" l="1"/>
  <c r="B27" i="10"/>
  <c r="D18" i="11" l="1"/>
  <c r="C15" i="11"/>
  <c r="B15" i="11"/>
  <c r="N6" i="18"/>
  <c r="D48" i="10"/>
  <c r="E48" i="10"/>
  <c r="F48" i="10"/>
  <c r="G48" i="10"/>
  <c r="C48" i="10"/>
  <c r="C285" i="9"/>
  <c r="C43" i="19"/>
  <c r="C42" i="19"/>
  <c r="E42" i="19" s="1"/>
  <c r="J42" i="19" s="1"/>
  <c r="K42" i="19" s="1"/>
  <c r="C41" i="19"/>
  <c r="F41" i="19" s="1"/>
  <c r="C40" i="19"/>
  <c r="F40" i="19" s="1"/>
  <c r="C34" i="19"/>
  <c r="E34" i="19" s="1"/>
  <c r="J34" i="19" s="1"/>
  <c r="K34" i="19" s="1"/>
  <c r="C33" i="19"/>
  <c r="F33" i="19" s="1"/>
  <c r="C32" i="19"/>
  <c r="F32" i="19" s="1"/>
  <c r="C31" i="19"/>
  <c r="C25" i="19"/>
  <c r="F25" i="19" s="1"/>
  <c r="C24" i="19"/>
  <c r="E24" i="19" s="1"/>
  <c r="J24" i="19" s="1"/>
  <c r="K24" i="19" s="1"/>
  <c r="C23" i="19"/>
  <c r="C22" i="19"/>
  <c r="C14" i="19"/>
  <c r="C15" i="19"/>
  <c r="F15" i="19" s="1"/>
  <c r="C16" i="19"/>
  <c r="F16" i="19" s="1"/>
  <c r="C13" i="19"/>
  <c r="E13" i="19" s="1"/>
  <c r="F43" i="19"/>
  <c r="F44" i="19"/>
  <c r="E41" i="19"/>
  <c r="J41" i="19" s="1"/>
  <c r="K41" i="19" s="1"/>
  <c r="E43" i="19"/>
  <c r="J43" i="19" s="1"/>
  <c r="K43" i="19" s="1"/>
  <c r="E44" i="19"/>
  <c r="J44" i="19" s="1"/>
  <c r="K44" i="19" s="1"/>
  <c r="E32" i="19"/>
  <c r="J32" i="19" s="1"/>
  <c r="K32" i="19" s="1"/>
  <c r="E35" i="19"/>
  <c r="J35" i="19" s="1"/>
  <c r="K35" i="19" s="1"/>
  <c r="F35" i="19"/>
  <c r="F23" i="19"/>
  <c r="F24" i="19"/>
  <c r="F26" i="19"/>
  <c r="E23" i="19"/>
  <c r="J23" i="19" s="1"/>
  <c r="K23" i="19" s="1"/>
  <c r="E26" i="19"/>
  <c r="J26" i="19" s="1"/>
  <c r="K26" i="19" s="1"/>
  <c r="F14" i="19"/>
  <c r="F17" i="19"/>
  <c r="E14" i="19"/>
  <c r="E16" i="19"/>
  <c r="J16" i="19" s="1"/>
  <c r="K16" i="19" s="1"/>
  <c r="E17" i="19"/>
  <c r="A5" i="20"/>
  <c r="C3" i="10"/>
  <c r="D281" i="9"/>
  <c r="E281" i="9"/>
  <c r="F281" i="9"/>
  <c r="D282" i="9"/>
  <c r="E282" i="9"/>
  <c r="F282" i="9"/>
  <c r="D285" i="9"/>
  <c r="E285" i="9"/>
  <c r="C282" i="9"/>
  <c r="C283" i="9"/>
  <c r="C11" i="11"/>
  <c r="C284" i="9"/>
  <c r="D284" i="9"/>
  <c r="C281" i="9"/>
  <c r="C14" i="8"/>
  <c r="C13" i="8"/>
  <c r="C12" i="8"/>
  <c r="C11" i="8"/>
  <c r="B17" i="19"/>
  <c r="B16" i="19" s="1"/>
  <c r="B15" i="19" s="1"/>
  <c r="B14" i="19" s="1"/>
  <c r="B13" i="19" s="1"/>
  <c r="D51" i="19"/>
  <c r="E3" i="10"/>
  <c r="M110" i="19"/>
  <c r="K110" i="19"/>
  <c r="L101" i="19" s="1"/>
  <c r="L74" i="19"/>
  <c r="N74" i="19" s="1"/>
  <c r="J110" i="19"/>
  <c r="J109" i="19" s="1"/>
  <c r="J108" i="19" s="1"/>
  <c r="J107" i="19" s="1"/>
  <c r="J106" i="19" s="1"/>
  <c r="M109" i="19"/>
  <c r="K109" i="19"/>
  <c r="M108" i="19"/>
  <c r="K108" i="19"/>
  <c r="L81" i="19" s="1"/>
  <c r="M107" i="19"/>
  <c r="K107" i="19"/>
  <c r="M106" i="19"/>
  <c r="K106" i="19"/>
  <c r="M101" i="19"/>
  <c r="J101" i="19"/>
  <c r="J100" i="19" s="1"/>
  <c r="J99" i="19" s="1"/>
  <c r="J98" i="19" s="1"/>
  <c r="J97" i="19" s="1"/>
  <c r="M100" i="19"/>
  <c r="M99" i="19"/>
  <c r="M98" i="19"/>
  <c r="M97" i="19"/>
  <c r="M92" i="19"/>
  <c r="J92" i="19"/>
  <c r="J91" i="19" s="1"/>
  <c r="J90" i="19" s="1"/>
  <c r="J89" i="19" s="1"/>
  <c r="J88" i="19" s="1"/>
  <c r="M91" i="19"/>
  <c r="M90" i="19"/>
  <c r="M89" i="19"/>
  <c r="M88" i="19"/>
  <c r="M83" i="19"/>
  <c r="J83" i="19"/>
  <c r="J82" i="19" s="1"/>
  <c r="J81" i="19" s="1"/>
  <c r="J80" i="19" s="1"/>
  <c r="J79" i="19" s="1"/>
  <c r="M82" i="19"/>
  <c r="M81" i="19"/>
  <c r="M80" i="19"/>
  <c r="M79" i="19"/>
  <c r="J74" i="19"/>
  <c r="J73" i="19"/>
  <c r="J72" i="19" s="1"/>
  <c r="J71" i="19" s="1"/>
  <c r="J70" i="19" s="1"/>
  <c r="G52" i="19"/>
  <c r="H43" i="19" s="1"/>
  <c r="E109" i="19"/>
  <c r="C109" i="19"/>
  <c r="D73" i="19" s="1"/>
  <c r="E110" i="19"/>
  <c r="E101" i="19"/>
  <c r="E92" i="19"/>
  <c r="E83" i="19"/>
  <c r="C110" i="19"/>
  <c r="D101" i="19" s="1"/>
  <c r="B104" i="19"/>
  <c r="B83" i="19"/>
  <c r="B82" i="19" s="1"/>
  <c r="B81" i="19" s="1"/>
  <c r="B80" i="19" s="1"/>
  <c r="B79" i="19" s="1"/>
  <c r="B74" i="19"/>
  <c r="B73" i="19" s="1"/>
  <c r="B72" i="19" s="1"/>
  <c r="B71" i="19" s="1"/>
  <c r="B70" i="19" s="1"/>
  <c r="B110" i="19"/>
  <c r="B109" i="19" s="1"/>
  <c r="B108" i="19" s="1"/>
  <c r="B107" i="19" s="1"/>
  <c r="B106" i="19" s="1"/>
  <c r="B101" i="19"/>
  <c r="B100" i="19" s="1"/>
  <c r="B99" i="19" s="1"/>
  <c r="B98" i="19" s="1"/>
  <c r="B97" i="19" s="1"/>
  <c r="B92" i="19"/>
  <c r="B91" i="19" s="1"/>
  <c r="B90" i="19" s="1"/>
  <c r="B89" i="19" s="1"/>
  <c r="B88" i="19" s="1"/>
  <c r="G53" i="19"/>
  <c r="H35" i="19" s="1"/>
  <c r="D49" i="19"/>
  <c r="C53" i="19"/>
  <c r="B53" i="19"/>
  <c r="B52" i="19" s="1"/>
  <c r="B51" i="19" s="1"/>
  <c r="B50" i="19" s="1"/>
  <c r="B49" i="19" s="1"/>
  <c r="B44" i="19"/>
  <c r="B43" i="19" s="1"/>
  <c r="B42" i="19" s="1"/>
  <c r="B41" i="19" s="1"/>
  <c r="B40" i="19" s="1"/>
  <c r="B95" i="19"/>
  <c r="B86" i="19"/>
  <c r="B77" i="19"/>
  <c r="B68" i="19"/>
  <c r="E273" i="9"/>
  <c r="E272" i="9"/>
  <c r="E264" i="9"/>
  <c r="E271" i="9"/>
  <c r="E263" i="9"/>
  <c r="E270" i="9"/>
  <c r="E262" i="9"/>
  <c r="E269" i="9"/>
  <c r="E261" i="9"/>
  <c r="E268" i="9"/>
  <c r="E260" i="9"/>
  <c r="E267" i="9"/>
  <c r="E259" i="9"/>
  <c r="E266" i="9"/>
  <c r="E258" i="9"/>
  <c r="E265" i="9"/>
  <c r="E257" i="9"/>
  <c r="B35" i="19"/>
  <c r="B34" i="19" s="1"/>
  <c r="B33" i="19" s="1"/>
  <c r="B32" i="19" s="1"/>
  <c r="B31" i="19" s="1"/>
  <c r="B26" i="19"/>
  <c r="B25" i="19" s="1"/>
  <c r="B24" i="19" s="1"/>
  <c r="B23" i="19" s="1"/>
  <c r="B22" i="19" s="1"/>
  <c r="H13" i="4"/>
  <c r="J13" i="3" s="1"/>
  <c r="H12" i="4"/>
  <c r="J12" i="3"/>
  <c r="H11" i="4"/>
  <c r="J11" i="3" s="1"/>
  <c r="H10" i="4"/>
  <c r="J10" i="3" s="1"/>
  <c r="H9" i="4"/>
  <c r="H16" i="4" s="1"/>
  <c r="E13" i="4"/>
  <c r="F13" i="3" s="1"/>
  <c r="E12" i="4"/>
  <c r="F12" i="3"/>
  <c r="E11" i="4"/>
  <c r="F11" i="3" s="1"/>
  <c r="E10" i="4"/>
  <c r="F10" i="3"/>
  <c r="E9" i="4"/>
  <c r="F16" i="4" s="1"/>
  <c r="B13" i="4"/>
  <c r="B13" i="3" s="1"/>
  <c r="B12" i="4"/>
  <c r="B12" i="3" s="1"/>
  <c r="B11" i="4"/>
  <c r="B11" i="3" s="1"/>
  <c r="B10" i="4"/>
  <c r="B10" i="3"/>
  <c r="B9" i="4"/>
  <c r="C16" i="4" s="1"/>
  <c r="C228" i="9"/>
  <c r="D228" i="9"/>
  <c r="E228" i="9"/>
  <c r="F228" i="9"/>
  <c r="B228" i="9"/>
  <c r="C215" i="9"/>
  <c r="D215" i="9"/>
  <c r="E215" i="9"/>
  <c r="E231" i="9" s="1"/>
  <c r="F215" i="9"/>
  <c r="F231" i="9" s="1"/>
  <c r="H10" i="18" s="1"/>
  <c r="B215" i="9"/>
  <c r="BG13" i="4"/>
  <c r="BZ13" i="3"/>
  <c r="BG12" i="4"/>
  <c r="BZ12" i="3"/>
  <c r="BG11" i="4"/>
  <c r="BZ11" i="3"/>
  <c r="BG10" i="4"/>
  <c r="BZ10" i="3" s="1"/>
  <c r="BG9" i="4"/>
  <c r="BD13" i="4"/>
  <c r="BV13" i="3" s="1"/>
  <c r="BD12" i="4"/>
  <c r="BV12" i="3" s="1"/>
  <c r="BD11" i="4"/>
  <c r="BV11" i="3"/>
  <c r="BD10" i="4"/>
  <c r="BV10" i="3" s="1"/>
  <c r="BD9" i="4"/>
  <c r="BV9" i="3" s="1"/>
  <c r="BV16" i="3" s="1"/>
  <c r="BW16" i="3" s="1"/>
  <c r="BX16" i="3" s="1"/>
  <c r="BA13" i="4"/>
  <c r="BR13" i="3" s="1"/>
  <c r="BA12" i="4"/>
  <c r="BR12" i="3"/>
  <c r="BA11" i="4"/>
  <c r="BR11" i="3" s="1"/>
  <c r="BA10" i="4"/>
  <c r="BR10" i="3" s="1"/>
  <c r="BA9" i="4"/>
  <c r="BR9" i="3"/>
  <c r="BR16" i="3" s="1"/>
  <c r="AX13" i="4"/>
  <c r="BN13" i="3" s="1"/>
  <c r="AX12" i="4"/>
  <c r="BN12" i="3" s="1"/>
  <c r="AX11" i="4"/>
  <c r="BN11" i="3" s="1"/>
  <c r="AX10" i="4"/>
  <c r="BN10" i="3" s="1"/>
  <c r="AX9" i="4"/>
  <c r="AX16" i="4" s="1"/>
  <c r="AU13" i="4"/>
  <c r="BJ13" i="3"/>
  <c r="AU12" i="4"/>
  <c r="BJ12" i="3"/>
  <c r="AU11" i="4"/>
  <c r="BJ11" i="3" s="1"/>
  <c r="AU10" i="4"/>
  <c r="BJ10" i="3" s="1"/>
  <c r="AU9" i="4"/>
  <c r="BJ9" i="3" s="1"/>
  <c r="BJ16" i="3" s="1"/>
  <c r="AR13" i="4"/>
  <c r="BF13" i="3" s="1"/>
  <c r="AR12" i="4"/>
  <c r="BF12" i="3" s="1"/>
  <c r="AR11" i="4"/>
  <c r="BF11" i="3" s="1"/>
  <c r="AR10" i="4"/>
  <c r="BF10" i="3"/>
  <c r="AR9" i="4"/>
  <c r="BF9" i="3" s="1"/>
  <c r="BF16" i="3" s="1"/>
  <c r="AO13" i="4"/>
  <c r="BB13" i="3"/>
  <c r="AO12" i="4"/>
  <c r="BB12" i="3" s="1"/>
  <c r="AO11" i="4"/>
  <c r="BB11" i="3" s="1"/>
  <c r="AO10" i="4"/>
  <c r="BB10" i="3"/>
  <c r="AO9" i="4"/>
  <c r="BB9" i="3" s="1"/>
  <c r="BB16" i="3" s="1"/>
  <c r="AL13" i="4"/>
  <c r="AX13" i="3" s="1"/>
  <c r="AL12" i="4"/>
  <c r="AX12" i="3"/>
  <c r="AL11" i="4"/>
  <c r="AX11" i="3"/>
  <c r="AL10" i="4"/>
  <c r="AX10" i="3" s="1"/>
  <c r="AL9" i="4"/>
  <c r="AI13" i="4"/>
  <c r="AT13" i="3" s="1"/>
  <c r="AI12" i="4"/>
  <c r="AT12" i="3" s="1"/>
  <c r="AI11" i="4"/>
  <c r="AT11" i="3"/>
  <c r="AI10" i="4"/>
  <c r="AT10" i="3"/>
  <c r="AI9" i="4"/>
  <c r="B22" i="10"/>
  <c r="B23" i="10"/>
  <c r="B24" i="10"/>
  <c r="B25" i="10"/>
  <c r="B26" i="10"/>
  <c r="B28" i="10"/>
  <c r="B29" i="10"/>
  <c r="B30" i="10"/>
  <c r="B21" i="10"/>
  <c r="B18" i="10"/>
  <c r="B17" i="10"/>
  <c r="C38" i="20" s="1"/>
  <c r="A30" i="10"/>
  <c r="BG7" i="4" s="1"/>
  <c r="BZ7" i="3" s="1"/>
  <c r="A27" i="10"/>
  <c r="AX7" i="4" s="1"/>
  <c r="BN7" i="3" s="1"/>
  <c r="A28" i="10"/>
  <c r="BA7" i="4" s="1"/>
  <c r="BR7" i="3" s="1"/>
  <c r="A29" i="10"/>
  <c r="BD7" i="4" s="1"/>
  <c r="BV7" i="3" s="1"/>
  <c r="A22" i="10"/>
  <c r="AI7" i="4"/>
  <c r="AT7" i="3" s="1"/>
  <c r="A23" i="10"/>
  <c r="AL7" i="4"/>
  <c r="AX7" i="3" s="1"/>
  <c r="A24" i="10"/>
  <c r="AO7" i="4" s="1"/>
  <c r="BB7" i="3" s="1"/>
  <c r="A25" i="10"/>
  <c r="AR7" i="4" s="1"/>
  <c r="BF7" i="3" s="1"/>
  <c r="A26" i="10"/>
  <c r="AU7" i="4" s="1"/>
  <c r="BJ7" i="3" s="1"/>
  <c r="A21" i="10"/>
  <c r="AF7" i="4"/>
  <c r="AP7" i="3"/>
  <c r="A18" i="10"/>
  <c r="AC7" i="4"/>
  <c r="AL7" i="3" s="1"/>
  <c r="AF13" i="4"/>
  <c r="AP13" i="3" s="1"/>
  <c r="AF12" i="4"/>
  <c r="AP12" i="3" s="1"/>
  <c r="AF11" i="4"/>
  <c r="AP11" i="3" s="1"/>
  <c r="AF10" i="4"/>
  <c r="AP10" i="3"/>
  <c r="AF9" i="4"/>
  <c r="AG16" i="4" s="1"/>
  <c r="Z13" i="4"/>
  <c r="AH13" i="3" s="1"/>
  <c r="Z12" i="4"/>
  <c r="AH12" i="3"/>
  <c r="AC9" i="4"/>
  <c r="AC16" i="4" s="1"/>
  <c r="AC10" i="4"/>
  <c r="AL10" i="3" s="1"/>
  <c r="AC13" i="4"/>
  <c r="AL13" i="3"/>
  <c r="AC12" i="4"/>
  <c r="AL12" i="3" s="1"/>
  <c r="AC11" i="4"/>
  <c r="AL11" i="3" s="1"/>
  <c r="D24" i="21"/>
  <c r="D15" i="21"/>
  <c r="D16" i="21"/>
  <c r="D17" i="21"/>
  <c r="D18" i="21"/>
  <c r="D19" i="21"/>
  <c r="D20" i="21"/>
  <c r="D21" i="21"/>
  <c r="D22" i="21"/>
  <c r="D23" i="21"/>
  <c r="D14" i="21"/>
  <c r="D13" i="21"/>
  <c r="A273" i="9"/>
  <c r="A265" i="9"/>
  <c r="A266" i="9"/>
  <c r="A267" i="9"/>
  <c r="A268" i="9"/>
  <c r="A269" i="9"/>
  <c r="A270" i="9"/>
  <c r="A271" i="9"/>
  <c r="A272" i="9"/>
  <c r="A264" i="9"/>
  <c r="A261" i="9"/>
  <c r="B15" i="21"/>
  <c r="B16" i="21"/>
  <c r="B17" i="21"/>
  <c r="B18" i="21"/>
  <c r="B19" i="21"/>
  <c r="B20" i="21"/>
  <c r="B21" i="21"/>
  <c r="B22" i="21"/>
  <c r="B14" i="21"/>
  <c r="B13" i="21"/>
  <c r="B217" i="9"/>
  <c r="C217" i="9"/>
  <c r="D217" i="9"/>
  <c r="E217" i="9"/>
  <c r="F217" i="9"/>
  <c r="B12" i="21"/>
  <c r="Z11" i="4"/>
  <c r="AH11" i="3"/>
  <c r="Z10" i="4"/>
  <c r="AH10" i="3"/>
  <c r="Z9" i="4"/>
  <c r="AH9" i="3"/>
  <c r="AH16" i="3" s="1"/>
  <c r="A218" i="9"/>
  <c r="A14" i="21"/>
  <c r="A220" i="9"/>
  <c r="A16" i="21"/>
  <c r="A221" i="9"/>
  <c r="A17" i="21"/>
  <c r="A222" i="9"/>
  <c r="A18" i="21"/>
  <c r="A223" i="9"/>
  <c r="A19" i="21"/>
  <c r="A224" i="9"/>
  <c r="A20" i="21"/>
  <c r="A225" i="9"/>
  <c r="A21" i="21"/>
  <c r="A226" i="9"/>
  <c r="A22" i="21"/>
  <c r="A227" i="9"/>
  <c r="A23" i="21"/>
  <c r="A213" i="9"/>
  <c r="A12" i="21"/>
  <c r="A214" i="9"/>
  <c r="A13" i="21"/>
  <c r="A219" i="9"/>
  <c r="A15" i="21"/>
  <c r="B88" i="15"/>
  <c r="B89" i="15"/>
  <c r="B90" i="15"/>
  <c r="B79" i="15"/>
  <c r="B80" i="15"/>
  <c r="B81" i="15"/>
  <c r="B70" i="15"/>
  <c r="B71" i="15"/>
  <c r="B61" i="15"/>
  <c r="B62" i="15"/>
  <c r="B63" i="15"/>
  <c r="B64" i="15"/>
  <c r="B65" i="15"/>
  <c r="B52" i="15"/>
  <c r="B43" i="15"/>
  <c r="A32" i="15"/>
  <c r="A41" i="15"/>
  <c r="A50" i="15"/>
  <c r="A59" i="15"/>
  <c r="A68" i="15"/>
  <c r="A77" i="15"/>
  <c r="A86" i="15"/>
  <c r="A95" i="15"/>
  <c r="G200" i="9"/>
  <c r="C306" i="9"/>
  <c r="G199" i="9"/>
  <c r="C305" i="9"/>
  <c r="A5" i="15"/>
  <c r="A14" i="15"/>
  <c r="A23" i="15"/>
  <c r="A7" i="15"/>
  <c r="A16" i="15" s="1"/>
  <c r="A25" i="15" s="1"/>
  <c r="A34" i="15" s="1"/>
  <c r="A43" i="15" s="1"/>
  <c r="A52" i="15" s="1"/>
  <c r="A61" i="15" s="1"/>
  <c r="A70" i="15" s="1"/>
  <c r="A79" i="15" s="1"/>
  <c r="A88" i="15" s="1"/>
  <c r="A97" i="15" s="1"/>
  <c r="A247" i="9"/>
  <c r="A246" i="9"/>
  <c r="A245" i="9"/>
  <c r="A244" i="9"/>
  <c r="A243" i="9"/>
  <c r="A242" i="9"/>
  <c r="A241" i="9"/>
  <c r="A240" i="9"/>
  <c r="A239" i="9"/>
  <c r="A238" i="9"/>
  <c r="A200" i="9"/>
  <c r="A199" i="9"/>
  <c r="A205" i="9"/>
  <c r="A4" i="21"/>
  <c r="B4" i="21"/>
  <c r="G191" i="9"/>
  <c r="C297" i="9" s="1"/>
  <c r="A206" i="9"/>
  <c r="A5" i="21"/>
  <c r="K9" i="4"/>
  <c r="N9" i="3" s="1"/>
  <c r="N16" i="3" s="1"/>
  <c r="O16" i="3" s="1"/>
  <c r="P16" i="3" s="1"/>
  <c r="Q16" i="3" s="1"/>
  <c r="N9" i="4"/>
  <c r="Q9" i="4"/>
  <c r="R16" i="4" s="1"/>
  <c r="T9" i="4"/>
  <c r="T16" i="4" s="1"/>
  <c r="W9" i="4"/>
  <c r="X16" i="4"/>
  <c r="B7" i="13"/>
  <c r="C7" i="13" s="1"/>
  <c r="BN16" i="4"/>
  <c r="J29" i="21"/>
  <c r="CJ16" i="3"/>
  <c r="CJ17" i="3"/>
  <c r="CJ18" i="3"/>
  <c r="CJ19" i="3"/>
  <c r="CJ20" i="3"/>
  <c r="CJ21" i="3"/>
  <c r="CJ22" i="3"/>
  <c r="CJ23" i="3"/>
  <c r="CJ24" i="3"/>
  <c r="CJ25" i="3"/>
  <c r="CJ26" i="3"/>
  <c r="CJ27" i="3"/>
  <c r="CJ28" i="3"/>
  <c r="CJ29" i="3"/>
  <c r="CJ30" i="3"/>
  <c r="CJ31" i="3"/>
  <c r="CJ32" i="3"/>
  <c r="CJ33" i="3"/>
  <c r="CJ34" i="3"/>
  <c r="CJ35" i="3"/>
  <c r="CJ36" i="3"/>
  <c r="CJ37" i="3"/>
  <c r="CJ38" i="3"/>
  <c r="CJ39" i="3"/>
  <c r="CJ40" i="3"/>
  <c r="CK16" i="3"/>
  <c r="CK17" i="3"/>
  <c r="CK18" i="3"/>
  <c r="CK19" i="3"/>
  <c r="CK20" i="3"/>
  <c r="CK21" i="3"/>
  <c r="CK22" i="3"/>
  <c r="CK23" i="3"/>
  <c r="CK24" i="3"/>
  <c r="CK25" i="3"/>
  <c r="CK26" i="3"/>
  <c r="CK27" i="3"/>
  <c r="CK28" i="3"/>
  <c r="CK29" i="3"/>
  <c r="CK30" i="3"/>
  <c r="CK31" i="3"/>
  <c r="CK32" i="3"/>
  <c r="CK33" i="3"/>
  <c r="CK34" i="3"/>
  <c r="CK35" i="3"/>
  <c r="CK36" i="3"/>
  <c r="CK37" i="3"/>
  <c r="CK38" i="3"/>
  <c r="CK39" i="3"/>
  <c r="CK40" i="3"/>
  <c r="CM16" i="3"/>
  <c r="CM17" i="3"/>
  <c r="B30" i="8"/>
  <c r="C30" i="8" s="1"/>
  <c r="B10" i="8"/>
  <c r="C10" i="8"/>
  <c r="C19" i="8"/>
  <c r="C20" i="8"/>
  <c r="C21" i="8"/>
  <c r="C22" i="8"/>
  <c r="C23" i="8"/>
  <c r="D10" i="8"/>
  <c r="D11" i="8"/>
  <c r="D12" i="8" s="1"/>
  <c r="D13" i="8" s="1"/>
  <c r="D14" i="8" s="1"/>
  <c r="B62" i="8"/>
  <c r="C62" i="8" s="1"/>
  <c r="B42" i="8"/>
  <c r="C42" i="8"/>
  <c r="C43" i="8"/>
  <c r="C44" i="8" s="1"/>
  <c r="C45" i="8" s="1"/>
  <c r="C46" i="8" s="1"/>
  <c r="C51" i="8"/>
  <c r="C52" i="8"/>
  <c r="C53" i="8"/>
  <c r="C54" i="8"/>
  <c r="C55" i="8"/>
  <c r="D42" i="8"/>
  <c r="D43" i="8" s="1"/>
  <c r="D44" i="8" s="1"/>
  <c r="D45" i="8" s="1"/>
  <c r="D46" i="8" s="1"/>
  <c r="B94" i="8"/>
  <c r="C94" i="8" s="1"/>
  <c r="B74" i="8"/>
  <c r="B75" i="8"/>
  <c r="C74" i="8"/>
  <c r="C83" i="8"/>
  <c r="C84" i="8"/>
  <c r="C85" i="8"/>
  <c r="C86" i="8"/>
  <c r="C87" i="8"/>
  <c r="D74" i="8"/>
  <c r="D75" i="8"/>
  <c r="D76" i="8" s="1"/>
  <c r="D77" i="8" s="1"/>
  <c r="D78" i="8" s="1"/>
  <c r="B126" i="8"/>
  <c r="C126" i="8" s="1"/>
  <c r="B106" i="8"/>
  <c r="B107" i="8"/>
  <c r="C106" i="8"/>
  <c r="C107" i="8"/>
  <c r="C108" i="8" s="1"/>
  <c r="C109" i="8" s="1"/>
  <c r="C110" i="8" s="1"/>
  <c r="C115" i="8"/>
  <c r="D106" i="8"/>
  <c r="D107" i="8" s="1"/>
  <c r="B158" i="8"/>
  <c r="C158" i="8"/>
  <c r="B138" i="8"/>
  <c r="B139" i="8"/>
  <c r="B140" i="8"/>
  <c r="B141" i="8"/>
  <c r="B142" i="8"/>
  <c r="B147" i="8"/>
  <c r="B148" i="8"/>
  <c r="B149" i="8"/>
  <c r="B150" i="8"/>
  <c r="B151" i="8"/>
  <c r="C138" i="8"/>
  <c r="C139" i="8"/>
  <c r="C140" i="8"/>
  <c r="C141" i="8"/>
  <c r="C142" i="8"/>
  <c r="C147" i="8"/>
  <c r="D138" i="8"/>
  <c r="D139" i="8"/>
  <c r="D140" i="8"/>
  <c r="D141" i="8"/>
  <c r="D142" i="8"/>
  <c r="B190" i="8"/>
  <c r="B170" i="8"/>
  <c r="B171" i="8"/>
  <c r="B172" i="8"/>
  <c r="B173" i="8"/>
  <c r="B174" i="8"/>
  <c r="B179" i="8"/>
  <c r="C170" i="8"/>
  <c r="C171" i="8"/>
  <c r="C172" i="8"/>
  <c r="C173" i="8"/>
  <c r="C174" i="8"/>
  <c r="C179" i="8"/>
  <c r="C180" i="8"/>
  <c r="C181" i="8"/>
  <c r="C182" i="8"/>
  <c r="C183" i="8"/>
  <c r="D170" i="8"/>
  <c r="D171" i="8"/>
  <c r="D172" i="8"/>
  <c r="D173" i="8"/>
  <c r="D174" i="8"/>
  <c r="B222" i="8"/>
  <c r="C222" i="8"/>
  <c r="B202" i="8"/>
  <c r="B203" i="8"/>
  <c r="B204" i="8"/>
  <c r="B205" i="8"/>
  <c r="B206" i="8"/>
  <c r="B211" i="8"/>
  <c r="B212" i="8"/>
  <c r="B213" i="8"/>
  <c r="B214" i="8"/>
  <c r="B215" i="8"/>
  <c r="C202" i="8"/>
  <c r="C203" i="8"/>
  <c r="C204" i="8"/>
  <c r="C205" i="8"/>
  <c r="C206" i="8"/>
  <c r="C211" i="8"/>
  <c r="D202" i="8"/>
  <c r="D203" i="8"/>
  <c r="D204" i="8"/>
  <c r="D205" i="8"/>
  <c r="D206" i="8"/>
  <c r="B254" i="8"/>
  <c r="C254" i="8"/>
  <c r="B234" i="8"/>
  <c r="B235" i="8"/>
  <c r="B243" i="8"/>
  <c r="B244" i="8"/>
  <c r="B245" i="8"/>
  <c r="B246" i="8"/>
  <c r="B247" i="8"/>
  <c r="C234" i="8"/>
  <c r="C235" i="8"/>
  <c r="C243" i="8"/>
  <c r="C244" i="8"/>
  <c r="C245" i="8"/>
  <c r="C246" i="8"/>
  <c r="C247" i="8"/>
  <c r="D234" i="8"/>
  <c r="D235" i="8"/>
  <c r="D236" i="8"/>
  <c r="D237" i="8"/>
  <c r="D238" i="8"/>
  <c r="B286" i="8"/>
  <c r="C286" i="8"/>
  <c r="B266" i="8"/>
  <c r="B267" i="8"/>
  <c r="B268" i="8"/>
  <c r="B275" i="8"/>
  <c r="C266" i="8"/>
  <c r="C267" i="8"/>
  <c r="C268" i="8"/>
  <c r="C269" i="8"/>
  <c r="C270" i="8"/>
  <c r="C275" i="8"/>
  <c r="C276" i="8"/>
  <c r="C277" i="8"/>
  <c r="C278" i="8"/>
  <c r="C279" i="8"/>
  <c r="D266" i="8"/>
  <c r="D267" i="8"/>
  <c r="D268" i="8"/>
  <c r="D269" i="8"/>
  <c r="D270" i="8"/>
  <c r="B318" i="8"/>
  <c r="B298" i="8"/>
  <c r="B299" i="8"/>
  <c r="B300" i="8"/>
  <c r="B301" i="8"/>
  <c r="B302" i="8"/>
  <c r="B307" i="8"/>
  <c r="B308" i="8"/>
  <c r="B309" i="8"/>
  <c r="B310" i="8"/>
  <c r="B311" i="8"/>
  <c r="C298" i="8"/>
  <c r="C299" i="8"/>
  <c r="C300" i="8"/>
  <c r="C301" i="8"/>
  <c r="C302" i="8"/>
  <c r="C307" i="8"/>
  <c r="C308" i="8"/>
  <c r="C309" i="8"/>
  <c r="C310" i="8"/>
  <c r="C311" i="8"/>
  <c r="D298" i="8"/>
  <c r="D299" i="8"/>
  <c r="D300" i="8"/>
  <c r="D301" i="8"/>
  <c r="D302" i="8"/>
  <c r="D7" i="13"/>
  <c r="D8" i="13"/>
  <c r="I7" i="14"/>
  <c r="B8" i="11"/>
  <c r="B7" i="11"/>
  <c r="B9" i="11"/>
  <c r="C9" i="11"/>
  <c r="D9" i="11"/>
  <c r="E9" i="11"/>
  <c r="B10" i="11"/>
  <c r="C10" i="11"/>
  <c r="B11" i="11"/>
  <c r="B12" i="11"/>
  <c r="B13" i="11"/>
  <c r="C13" i="11"/>
  <c r="D13" i="11"/>
  <c r="E13" i="11"/>
  <c r="F13" i="11"/>
  <c r="G13" i="11"/>
  <c r="K10" i="4"/>
  <c r="N10" i="3" s="1"/>
  <c r="N10" i="4"/>
  <c r="R10" i="3"/>
  <c r="Q10" i="4"/>
  <c r="V10" i="3" s="1"/>
  <c r="T10" i="4"/>
  <c r="Z10" i="3" s="1"/>
  <c r="W10" i="4"/>
  <c r="AD10" i="3" s="1"/>
  <c r="B8" i="13"/>
  <c r="B31" i="8"/>
  <c r="B63" i="8"/>
  <c r="B95" i="8"/>
  <c r="B127" i="8"/>
  <c r="B159" i="8"/>
  <c r="B191" i="8"/>
  <c r="B223" i="8"/>
  <c r="B255" i="8"/>
  <c r="B319" i="8"/>
  <c r="B287" i="8"/>
  <c r="K11" i="4"/>
  <c r="N11" i="3"/>
  <c r="N11" i="4"/>
  <c r="R11" i="3" s="1"/>
  <c r="Q11" i="4"/>
  <c r="V11" i="3"/>
  <c r="T11" i="4"/>
  <c r="Z11" i="3" s="1"/>
  <c r="W11" i="4"/>
  <c r="AD11" i="3"/>
  <c r="B9" i="13"/>
  <c r="B32" i="8"/>
  <c r="B64" i="8"/>
  <c r="B96" i="8"/>
  <c r="B128" i="8"/>
  <c r="B160" i="8"/>
  <c r="B192" i="8"/>
  <c r="B224" i="8"/>
  <c r="B256" i="8"/>
  <c r="B320" i="8"/>
  <c r="B288" i="8"/>
  <c r="K12" i="4"/>
  <c r="N12" i="3"/>
  <c r="N12" i="4"/>
  <c r="R12" i="3" s="1"/>
  <c r="Q12" i="4"/>
  <c r="V12" i="3" s="1"/>
  <c r="T12" i="4"/>
  <c r="Z12" i="3" s="1"/>
  <c r="W12" i="4"/>
  <c r="AD12" i="3"/>
  <c r="B10" i="13"/>
  <c r="B33" i="8"/>
  <c r="B65" i="8"/>
  <c r="B97" i="8"/>
  <c r="B129" i="8"/>
  <c r="B161" i="8"/>
  <c r="B193" i="8"/>
  <c r="B225" i="8"/>
  <c r="B257" i="8"/>
  <c r="B321" i="8"/>
  <c r="B289" i="8"/>
  <c r="K13" i="4"/>
  <c r="N13" i="3" s="1"/>
  <c r="N13" i="4"/>
  <c r="R13" i="3"/>
  <c r="Q13" i="4"/>
  <c r="V13" i="3" s="1"/>
  <c r="T13" i="4"/>
  <c r="Z13" i="3" s="1"/>
  <c r="W13" i="4"/>
  <c r="AD13" i="3" s="1"/>
  <c r="B11" i="13"/>
  <c r="B34" i="8"/>
  <c r="B66" i="8"/>
  <c r="B98" i="8"/>
  <c r="B130" i="8"/>
  <c r="B162" i="8"/>
  <c r="B194" i="8"/>
  <c r="B226" i="8"/>
  <c r="B258" i="8"/>
  <c r="B322" i="8"/>
  <c r="B290" i="8"/>
  <c r="A29" i="2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D12" i="21"/>
  <c r="D11" i="21"/>
  <c r="D10" i="21"/>
  <c r="D9" i="21"/>
  <c r="D8" i="21"/>
  <c r="D7" i="21"/>
  <c r="D6" i="21"/>
  <c r="D5" i="21"/>
  <c r="D4" i="21"/>
  <c r="B5" i="21"/>
  <c r="B6" i="21"/>
  <c r="B7" i="21"/>
  <c r="B8" i="21"/>
  <c r="B9" i="21"/>
  <c r="B10" i="21"/>
  <c r="B11" i="21"/>
  <c r="B24" i="21"/>
  <c r="A24" i="21"/>
  <c r="A211" i="9"/>
  <c r="A10" i="21"/>
  <c r="A210" i="9"/>
  <c r="A9" i="21"/>
  <c r="A209" i="9"/>
  <c r="A8" i="21"/>
  <c r="A208" i="9"/>
  <c r="A7" i="21"/>
  <c r="A207" i="9"/>
  <c r="A6" i="21"/>
  <c r="E129" i="9"/>
  <c r="B301" i="9"/>
  <c r="E130" i="9"/>
  <c r="B302" i="9"/>
  <c r="E131" i="9"/>
  <c r="B303" i="9"/>
  <c r="E132" i="9"/>
  <c r="B304" i="9"/>
  <c r="E133" i="9"/>
  <c r="B305" i="9"/>
  <c r="E134" i="9"/>
  <c r="B306" i="9"/>
  <c r="E142" i="9"/>
  <c r="E143" i="9"/>
  <c r="E144" i="9"/>
  <c r="E145" i="9"/>
  <c r="E146" i="9"/>
  <c r="E147" i="9"/>
  <c r="E155" i="9"/>
  <c r="E156" i="9"/>
  <c r="E157" i="9"/>
  <c r="E158" i="9"/>
  <c r="E159" i="9"/>
  <c r="E160" i="9"/>
  <c r="E168" i="9"/>
  <c r="E169" i="9"/>
  <c r="E170" i="9"/>
  <c r="E171" i="9"/>
  <c r="E172" i="9"/>
  <c r="E173" i="9"/>
  <c r="E181" i="9"/>
  <c r="E182" i="9"/>
  <c r="E183" i="9"/>
  <c r="E184" i="9"/>
  <c r="E185" i="9"/>
  <c r="E186" i="9"/>
  <c r="B32" i="10"/>
  <c r="B10" i="10"/>
  <c r="B11" i="10"/>
  <c r="B12" i="10"/>
  <c r="B13" i="10"/>
  <c r="B14" i="10"/>
  <c r="B15" i="10"/>
  <c r="B16" i="10"/>
  <c r="F201" i="9"/>
  <c r="G40" i="20" s="1"/>
  <c r="E201" i="9"/>
  <c r="G39" i="20" s="1"/>
  <c r="D201" i="9"/>
  <c r="G38" i="20" s="1"/>
  <c r="C201" i="9"/>
  <c r="G37" i="20" s="1"/>
  <c r="B201" i="9"/>
  <c r="G36" i="20" s="1"/>
  <c r="A1" i="20"/>
  <c r="A6" i="18"/>
  <c r="A7" i="18" s="1"/>
  <c r="G7" i="18" s="1"/>
  <c r="E42" i="10"/>
  <c r="B293" i="8"/>
  <c r="K326" i="8"/>
  <c r="B85" i="15"/>
  <c r="B261" i="8"/>
  <c r="J326" i="8"/>
  <c r="B76" i="15"/>
  <c r="G192" i="9"/>
  <c r="C298" i="9" s="1"/>
  <c r="G193" i="9"/>
  <c r="C299" i="9" s="1"/>
  <c r="G194" i="9"/>
  <c r="C300" i="9" s="1"/>
  <c r="G195" i="9"/>
  <c r="C301" i="9"/>
  <c r="G196" i="9"/>
  <c r="C302" i="9"/>
  <c r="G197" i="9"/>
  <c r="C303" i="9"/>
  <c r="D303" i="9"/>
  <c r="G198" i="9"/>
  <c r="C304" i="9"/>
  <c r="D304" i="9"/>
  <c r="H51" i="10"/>
  <c r="H50" i="10"/>
  <c r="H49" i="10"/>
  <c r="C47" i="10"/>
  <c r="D47" i="10" s="1"/>
  <c r="E47" i="10" s="1"/>
  <c r="F47" i="10" s="1"/>
  <c r="G47" i="10" s="1"/>
  <c r="A298" i="9"/>
  <c r="A49" i="10"/>
  <c r="A299" i="9"/>
  <c r="A50" i="10"/>
  <c r="A300" i="9"/>
  <c r="A51" i="10"/>
  <c r="A301" i="9"/>
  <c r="A302" i="9"/>
  <c r="A303" i="9"/>
  <c r="A304" i="9"/>
  <c r="A305" i="9"/>
  <c r="A306" i="9"/>
  <c r="A297" i="9"/>
  <c r="A48" i="10"/>
  <c r="A1" i="18"/>
  <c r="A9" i="4"/>
  <c r="A9" i="3" s="1"/>
  <c r="A16" i="4"/>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1" i="4"/>
  <c r="A17" i="10"/>
  <c r="Z7" i="4" s="1"/>
  <c r="AH7" i="3" s="1"/>
  <c r="A16" i="10"/>
  <c r="W7" i="4" s="1"/>
  <c r="AD7" i="3" s="1"/>
  <c r="A15" i="10"/>
  <c r="T7" i="4"/>
  <c r="Z7" i="3" s="1"/>
  <c r="A14" i="10"/>
  <c r="Q7" i="4" s="1"/>
  <c r="V7" i="3" s="1"/>
  <c r="A12" i="10"/>
  <c r="K7" i="4" s="1"/>
  <c r="N7" i="3" s="1"/>
  <c r="A9" i="10"/>
  <c r="B7" i="4" s="1"/>
  <c r="B7" i="3" s="1"/>
  <c r="A13" i="10"/>
  <c r="N7" i="4" s="1"/>
  <c r="R7" i="3" s="1"/>
  <c r="A10" i="10"/>
  <c r="E7" i="4" s="1"/>
  <c r="F7" i="3" s="1"/>
  <c r="A11" i="10"/>
  <c r="H7" i="4" s="1"/>
  <c r="J7" i="3" s="1"/>
  <c r="A1" i="3"/>
  <c r="B5" i="14"/>
  <c r="C5" i="14"/>
  <c r="D5" i="14"/>
  <c r="E5" i="14"/>
  <c r="A5" i="14"/>
  <c r="A1" i="14"/>
  <c r="A7" i="2"/>
  <c r="A7" i="14" s="1"/>
  <c r="B237" i="9"/>
  <c r="C237" i="9" s="1"/>
  <c r="A258" i="9"/>
  <c r="A259" i="9"/>
  <c r="A260" i="9"/>
  <c r="A254" i="9"/>
  <c r="A255" i="9"/>
  <c r="A256" i="9"/>
  <c r="A257" i="9"/>
  <c r="A134" i="9"/>
  <c r="A147" i="9"/>
  <c r="A160" i="9"/>
  <c r="A173" i="9"/>
  <c r="A186" i="9"/>
  <c r="A133" i="9"/>
  <c r="A146" i="9"/>
  <c r="A159" i="9"/>
  <c r="A172" i="9"/>
  <c r="A185" i="9"/>
  <c r="A132" i="9"/>
  <c r="A145" i="9"/>
  <c r="A158" i="9"/>
  <c r="A171" i="9"/>
  <c r="A184" i="9"/>
  <c r="A131" i="9"/>
  <c r="A144" i="9"/>
  <c r="A157" i="9"/>
  <c r="A170" i="9"/>
  <c r="A183" i="9"/>
  <c r="A130" i="9"/>
  <c r="A143" i="9"/>
  <c r="A156" i="9"/>
  <c r="A169" i="9"/>
  <c r="A182" i="9"/>
  <c r="A129" i="9"/>
  <c r="A142" i="9"/>
  <c r="A155" i="9"/>
  <c r="A168" i="9"/>
  <c r="A181" i="9"/>
  <c r="A128" i="9"/>
  <c r="A141" i="9"/>
  <c r="A154" i="9"/>
  <c r="A167" i="9"/>
  <c r="A180" i="9"/>
  <c r="A127" i="9"/>
  <c r="A140" i="9"/>
  <c r="A153" i="9"/>
  <c r="A166" i="9"/>
  <c r="A179" i="9"/>
  <c r="A126" i="9"/>
  <c r="A139" i="9"/>
  <c r="A152" i="9"/>
  <c r="A165" i="9"/>
  <c r="A178" i="9"/>
  <c r="A125" i="9"/>
  <c r="A138" i="9"/>
  <c r="A151" i="9"/>
  <c r="A164" i="9"/>
  <c r="A177" i="9"/>
  <c r="A55" i="9"/>
  <c r="A123" i="9" s="1"/>
  <c r="A136" i="9" s="1"/>
  <c r="A149" i="9" s="1"/>
  <c r="A162" i="9" s="1"/>
  <c r="A175" i="9" s="1"/>
  <c r="B204" i="9"/>
  <c r="C204" i="9" s="1"/>
  <c r="D204" i="9" s="1"/>
  <c r="E204" i="9" s="1"/>
  <c r="F204" i="9" s="1"/>
  <c r="A212" i="9"/>
  <c r="A11" i="21"/>
  <c r="A196" i="9"/>
  <c r="A197" i="9"/>
  <c r="A198" i="9"/>
  <c r="A66" i="9"/>
  <c r="A79" i="9"/>
  <c r="A92" i="9"/>
  <c r="A105" i="9"/>
  <c r="A118" i="9"/>
  <c r="A65" i="9"/>
  <c r="A78" i="9"/>
  <c r="A91" i="9"/>
  <c r="A104" i="9"/>
  <c r="A117" i="9"/>
  <c r="A64" i="9"/>
  <c r="A77" i="9"/>
  <c r="A90" i="9"/>
  <c r="A103" i="9"/>
  <c r="A116" i="9"/>
  <c r="A63" i="9"/>
  <c r="A76" i="9"/>
  <c r="A89" i="9"/>
  <c r="A102" i="9"/>
  <c r="A115" i="9"/>
  <c r="A62" i="9"/>
  <c r="A75" i="9"/>
  <c r="A88" i="9"/>
  <c r="A101" i="9"/>
  <c r="A114" i="9"/>
  <c r="A61" i="9"/>
  <c r="A74" i="9"/>
  <c r="A87" i="9"/>
  <c r="A100" i="9"/>
  <c r="A113" i="9"/>
  <c r="A60" i="9"/>
  <c r="A73" i="9"/>
  <c r="A86" i="9"/>
  <c r="A99" i="9"/>
  <c r="A112" i="9"/>
  <c r="A59" i="9"/>
  <c r="A72" i="9"/>
  <c r="A85" i="9"/>
  <c r="A98" i="9"/>
  <c r="A111" i="9"/>
  <c r="A58" i="9"/>
  <c r="A71" i="9"/>
  <c r="A84" i="9"/>
  <c r="A97" i="9"/>
  <c r="A110" i="9"/>
  <c r="A57" i="9"/>
  <c r="A70" i="9"/>
  <c r="A83" i="9"/>
  <c r="A96" i="9"/>
  <c r="A109" i="9"/>
  <c r="A253" i="9"/>
  <c r="A252" i="9"/>
  <c r="A1" i="9"/>
  <c r="B190" i="9"/>
  <c r="C190" i="9" s="1"/>
  <c r="D190" i="9" s="1"/>
  <c r="E190" i="9" s="1"/>
  <c r="F190" i="9" s="1"/>
  <c r="A192" i="9"/>
  <c r="A193" i="9"/>
  <c r="A194" i="9"/>
  <c r="A195" i="9"/>
  <c r="A191" i="9"/>
  <c r="B5" i="11"/>
  <c r="C5" i="11" s="1"/>
  <c r="D5" i="11" s="1"/>
  <c r="E5" i="11" s="1"/>
  <c r="F5" i="11" s="1"/>
  <c r="G5" i="11" s="1"/>
  <c r="H5" i="11" s="1"/>
  <c r="I5" i="11" s="1"/>
  <c r="J5" i="11" s="1"/>
  <c r="K5" i="11" s="1"/>
  <c r="L5" i="11" s="1"/>
  <c r="M5" i="11" s="1"/>
  <c r="N5" i="11" s="1"/>
  <c r="O5" i="11" s="1"/>
  <c r="P5" i="11" s="1"/>
  <c r="Q5" i="11" s="1"/>
  <c r="R5" i="11" s="1"/>
  <c r="S5" i="11" s="1"/>
  <c r="T5" i="11" s="1"/>
  <c r="U5" i="11" s="1"/>
  <c r="V5" i="11" s="1"/>
  <c r="W5" i="11" s="1"/>
  <c r="X5" i="11" s="1"/>
  <c r="Y5" i="11" s="1"/>
  <c r="Z5" i="11" s="1"/>
  <c r="A1" i="11"/>
  <c r="A7" i="13"/>
  <c r="A8" i="13" s="1"/>
  <c r="A9" i="13" s="1"/>
  <c r="A10" i="13" s="1"/>
  <c r="A11" i="13" s="1"/>
  <c r="A1" i="13"/>
  <c r="A1" i="2"/>
  <c r="A1" i="15"/>
  <c r="A353" i="8"/>
  <c r="A354" i="8" s="1"/>
  <c r="A355" i="8" s="1"/>
  <c r="A356" i="8" s="1"/>
  <c r="A357" i="8" s="1"/>
  <c r="A345" i="8"/>
  <c r="A346" i="8" s="1"/>
  <c r="A347" i="8" s="1"/>
  <c r="A348" i="8" s="1"/>
  <c r="A349" i="8" s="1"/>
  <c r="A337" i="8"/>
  <c r="A338" i="8" s="1"/>
  <c r="A339" i="8" s="1"/>
  <c r="A340" i="8" s="1"/>
  <c r="A341" i="8" s="1"/>
  <c r="A329" i="8"/>
  <c r="A330" i="8" s="1"/>
  <c r="A331" i="8" s="1"/>
  <c r="A332" i="8" s="1"/>
  <c r="A333" i="8" s="1"/>
  <c r="B229" i="8"/>
  <c r="I326" i="8"/>
  <c r="B67" i="15"/>
  <c r="B197" i="8"/>
  <c r="H326" i="8"/>
  <c r="B58" i="15"/>
  <c r="A190" i="8"/>
  <c r="A191" i="8" s="1"/>
  <c r="A192" i="8" s="1"/>
  <c r="A193" i="8" s="1"/>
  <c r="A194" i="8" s="1"/>
  <c r="B165" i="8"/>
  <c r="G326" i="8"/>
  <c r="B49" i="15"/>
  <c r="B133" i="8"/>
  <c r="F326" i="8"/>
  <c r="B40" i="15"/>
  <c r="B101" i="8"/>
  <c r="E326" i="8"/>
  <c r="B31" i="15"/>
  <c r="B69" i="8"/>
  <c r="D326" i="8"/>
  <c r="B22" i="15"/>
  <c r="B37" i="8"/>
  <c r="C326" i="8"/>
  <c r="B13" i="15"/>
  <c r="B5" i="8"/>
  <c r="B326" i="8"/>
  <c r="B4" i="15"/>
  <c r="A286" i="8"/>
  <c r="A287" i="8" s="1"/>
  <c r="A288" i="8" s="1"/>
  <c r="A289" i="8" s="1"/>
  <c r="A290" i="8" s="1"/>
  <c r="A318" i="8"/>
  <c r="A319" i="8" s="1"/>
  <c r="A320" i="8" s="1"/>
  <c r="A321" i="8" s="1"/>
  <c r="A322" i="8" s="1"/>
  <c r="A298" i="8"/>
  <c r="A299" i="8" s="1"/>
  <c r="A307" i="8"/>
  <c r="A266" i="8"/>
  <c r="A267" i="8" s="1"/>
  <c r="A275" i="8"/>
  <c r="A254" i="8"/>
  <c r="A255" i="8" s="1"/>
  <c r="A256" i="8" s="1"/>
  <c r="A257" i="8" s="1"/>
  <c r="A258" i="8" s="1"/>
  <c r="A234" i="8"/>
  <c r="A235" i="8" s="1"/>
  <c r="A243" i="8"/>
  <c r="A179" i="8"/>
  <c r="A180" i="8" s="1"/>
  <c r="A181" i="8" s="1"/>
  <c r="A182" i="8" s="1"/>
  <c r="A183" i="8" s="1"/>
  <c r="A170" i="8"/>
  <c r="A171" i="8" s="1"/>
  <c r="A172" i="8" s="1"/>
  <c r="A173" i="8" s="1"/>
  <c r="A174" i="8" s="1"/>
  <c r="A158" i="8"/>
  <c r="A159" i="8" s="1"/>
  <c r="A160" i="8" s="1"/>
  <c r="A161" i="8" s="1"/>
  <c r="A162" i="8" s="1"/>
  <c r="A147" i="8"/>
  <c r="A148" i="8" s="1"/>
  <c r="A149" i="8" s="1"/>
  <c r="A150" i="8" s="1"/>
  <c r="A151" i="8" s="1"/>
  <c r="A138" i="8"/>
  <c r="A139" i="8" s="1"/>
  <c r="A140" i="8" s="1"/>
  <c r="A141" i="8" s="1"/>
  <c r="A142" i="8" s="1"/>
  <c r="A126" i="8"/>
  <c r="A127" i="8" s="1"/>
  <c r="A128" i="8" s="1"/>
  <c r="A129" i="8" s="1"/>
  <c r="A130" i="8" s="1"/>
  <c r="A115" i="8"/>
  <c r="A116" i="8" s="1"/>
  <c r="A117" i="8" s="1"/>
  <c r="A118" i="8" s="1"/>
  <c r="A119" i="8" s="1"/>
  <c r="A106" i="8"/>
  <c r="A107" i="8" s="1"/>
  <c r="A108" i="8" s="1"/>
  <c r="A109" i="8" s="1"/>
  <c r="A110" i="8" s="1"/>
  <c r="A94" i="8"/>
  <c r="A95" i="8" s="1"/>
  <c r="A96" i="8" s="1"/>
  <c r="A97" i="8" s="1"/>
  <c r="A98" i="8" s="1"/>
  <c r="A83" i="8"/>
  <c r="A84" i="8" s="1"/>
  <c r="A85" i="8" s="1"/>
  <c r="A86" i="8" s="1"/>
  <c r="A87" i="8" s="1"/>
  <c r="A74" i="8"/>
  <c r="A75" i="8" s="1"/>
  <c r="A76" i="8" s="1"/>
  <c r="A77" i="8" s="1"/>
  <c r="A78" i="8" s="1"/>
  <c r="A62" i="8"/>
  <c r="A63" i="8" s="1"/>
  <c r="A64" i="8" s="1"/>
  <c r="A65" i="8" s="1"/>
  <c r="A66" i="8" s="1"/>
  <c r="A51" i="8"/>
  <c r="A52" i="8" s="1"/>
  <c r="A53" i="8" s="1"/>
  <c r="A54" i="8" s="1"/>
  <c r="A55" i="8" s="1"/>
  <c r="A42" i="8"/>
  <c r="A43" i="8" s="1"/>
  <c r="A44" i="8" s="1"/>
  <c r="A45" i="8" s="1"/>
  <c r="A46" i="8" s="1"/>
  <c r="A30" i="8"/>
  <c r="A31" i="8" s="1"/>
  <c r="A32" i="8" s="1"/>
  <c r="A33" i="8" s="1"/>
  <c r="A34" i="8" s="1"/>
  <c r="A19" i="8"/>
  <c r="A20" i="8" s="1"/>
  <c r="A21" i="8" s="1"/>
  <c r="A22" i="8" s="1"/>
  <c r="A23" i="8" s="1"/>
  <c r="A10" i="8"/>
  <c r="A11" i="8" s="1"/>
  <c r="A12" i="8" s="1"/>
  <c r="A13" i="8" s="1"/>
  <c r="A14" i="8" s="1"/>
  <c r="A211" i="8"/>
  <c r="A202" i="8"/>
  <c r="A203" i="8" s="1"/>
  <c r="A222" i="8"/>
  <c r="A223" i="8" s="1"/>
  <c r="A224" i="8" s="1"/>
  <c r="A225" i="8" s="1"/>
  <c r="A226" i="8" s="1"/>
  <c r="A1" i="8"/>
  <c r="B3" i="10"/>
  <c r="A32" i="10"/>
  <c r="A1" i="10"/>
  <c r="B23" i="21"/>
  <c r="B9" i="10"/>
  <c r="F22" i="19"/>
  <c r="E22" i="19"/>
  <c r="J22" i="19" s="1"/>
  <c r="C190" i="8"/>
  <c r="D302" i="9"/>
  <c r="E254" i="8"/>
  <c r="AA16" i="4"/>
  <c r="AB16" i="4" s="1"/>
  <c r="Z17" i="4" s="1"/>
  <c r="E94" i="8"/>
  <c r="D353" i="8" s="1"/>
  <c r="E126" i="8"/>
  <c r="E353" i="8" s="1"/>
  <c r="AD9" i="3"/>
  <c r="AD16" i="3"/>
  <c r="D231" i="9"/>
  <c r="C9" i="2" s="1"/>
  <c r="Z16" i="4"/>
  <c r="E190" i="8"/>
  <c r="G353" i="8"/>
  <c r="AM16" i="4"/>
  <c r="AU16" i="4"/>
  <c r="W16" i="4"/>
  <c r="Y16" i="4" s="1"/>
  <c r="W17" i="4" s="1"/>
  <c r="E286" i="8"/>
  <c r="H286" i="8"/>
  <c r="C191" i="8"/>
  <c r="D318" i="8"/>
  <c r="D158" i="8"/>
  <c r="D159" i="8"/>
  <c r="F345" i="8"/>
  <c r="AV16" i="4"/>
  <c r="BD16" i="4"/>
  <c r="C116" i="8"/>
  <c r="C117" i="8"/>
  <c r="BA16" i="4"/>
  <c r="D222" i="8"/>
  <c r="H345" i="8"/>
  <c r="D254" i="8"/>
  <c r="BB16" i="4"/>
  <c r="E62" i="8"/>
  <c r="E63" i="8" s="1"/>
  <c r="F254" i="8"/>
  <c r="D286" i="8"/>
  <c r="C236" i="8"/>
  <c r="C237" i="8"/>
  <c r="C238" i="8"/>
  <c r="C287" i="8"/>
  <c r="J338" i="8"/>
  <c r="C80" i="15"/>
  <c r="J337" i="8"/>
  <c r="C79" i="15"/>
  <c r="D79" i="15"/>
  <c r="E79" i="15"/>
  <c r="F286" i="8"/>
  <c r="C148" i="8"/>
  <c r="C149" i="8"/>
  <c r="C150" i="8"/>
  <c r="C151" i="8"/>
  <c r="E158" i="8"/>
  <c r="C159" i="8"/>
  <c r="B72" i="15"/>
  <c r="B73" i="15"/>
  <c r="B276" i="8"/>
  <c r="B277" i="8"/>
  <c r="B278" i="8"/>
  <c r="C212" i="8"/>
  <c r="E222" i="8"/>
  <c r="H353" i="8"/>
  <c r="AP16" i="4"/>
  <c r="D306" i="9"/>
  <c r="D305" i="9"/>
  <c r="C255" i="8"/>
  <c r="I337" i="8"/>
  <c r="C70" i="15"/>
  <c r="D70" i="15"/>
  <c r="E70" i="15"/>
  <c r="D301" i="9"/>
  <c r="B53" i="15"/>
  <c r="H337" i="8"/>
  <c r="C61" i="15"/>
  <c r="D61" i="15"/>
  <c r="E61" i="15"/>
  <c r="C223" i="8"/>
  <c r="H338" i="8"/>
  <c r="C62" i="15"/>
  <c r="H126" i="8"/>
  <c r="G159" i="8"/>
  <c r="E95" i="8"/>
  <c r="E96" i="8" s="1"/>
  <c r="G222" i="8"/>
  <c r="E287" i="8"/>
  <c r="E288" i="8"/>
  <c r="J354" i="8"/>
  <c r="E127" i="8"/>
  <c r="E354" i="8" s="1"/>
  <c r="F191" i="8"/>
  <c r="H190" i="8"/>
  <c r="G158" i="8"/>
  <c r="J353" i="8"/>
  <c r="AW16" i="4"/>
  <c r="AU17" i="4" s="1"/>
  <c r="G254" i="8"/>
  <c r="BC16" i="4"/>
  <c r="BA17" i="4" s="1"/>
  <c r="BB17" i="4" s="1"/>
  <c r="D223" i="8"/>
  <c r="F353" i="8"/>
  <c r="H158" i="8"/>
  <c r="E159" i="8"/>
  <c r="C256" i="8"/>
  <c r="I338" i="8"/>
  <c r="C71" i="15"/>
  <c r="D71" i="15"/>
  <c r="E71" i="15"/>
  <c r="H222" i="8"/>
  <c r="B74" i="15"/>
  <c r="F346" i="8"/>
  <c r="F287" i="8"/>
  <c r="D80" i="15"/>
  <c r="E80" i="15"/>
  <c r="C288" i="8"/>
  <c r="C224" i="8"/>
  <c r="F223" i="8"/>
  <c r="B54" i="15"/>
  <c r="J355" i="8"/>
  <c r="H287" i="8"/>
  <c r="C289" i="8"/>
  <c r="J339" i="8"/>
  <c r="C81" i="15"/>
  <c r="D81" i="15"/>
  <c r="I339" i="8"/>
  <c r="C72" i="15"/>
  <c r="D72" i="15"/>
  <c r="E72" i="15"/>
  <c r="C225" i="8"/>
  <c r="J340" i="8"/>
  <c r="C82" i="15"/>
  <c r="D82" i="15"/>
  <c r="C226" i="8"/>
  <c r="C75" i="8"/>
  <c r="C76" i="8" s="1"/>
  <c r="C77" i="8" s="1"/>
  <c r="C78" i="8" s="1"/>
  <c r="B43" i="8"/>
  <c r="E82" i="19"/>
  <c r="E91" i="19"/>
  <c r="E100" i="19"/>
  <c r="C108" i="19"/>
  <c r="D81" i="19" s="1"/>
  <c r="E108" i="19"/>
  <c r="E99" i="19"/>
  <c r="E90" i="19"/>
  <c r="E81" i="19"/>
  <c r="G51" i="19"/>
  <c r="H33" i="19" s="1"/>
  <c r="G50" i="19"/>
  <c r="H32" i="19" s="1"/>
  <c r="C107" i="19"/>
  <c r="E107" i="19"/>
  <c r="E98" i="19"/>
  <c r="E89" i="19"/>
  <c r="E80" i="19"/>
  <c r="D97" i="19"/>
  <c r="E97" i="19"/>
  <c r="E106" i="19"/>
  <c r="E88" i="19"/>
  <c r="E79" i="19"/>
  <c r="G49" i="19"/>
  <c r="H13" i="19" s="1"/>
  <c r="C8" i="11"/>
  <c r="D8" i="11"/>
  <c r="BN17" i="4"/>
  <c r="J30" i="21"/>
  <c r="D9" i="13"/>
  <c r="D10" i="13"/>
  <c r="D11" i="13"/>
  <c r="AP9" i="3"/>
  <c r="AP16" i="3" s="1"/>
  <c r="J9" i="3"/>
  <c r="J16" i="3" s="1"/>
  <c r="I16" i="4"/>
  <c r="B11" i="8"/>
  <c r="L98" i="19"/>
  <c r="N98" i="19"/>
  <c r="O98" i="19" s="1"/>
  <c r="L83" i="19"/>
  <c r="N83" i="19" s="1"/>
  <c r="O83" i="19" s="1"/>
  <c r="L99" i="19"/>
  <c r="N99" i="19"/>
  <c r="O99" i="19" s="1"/>
  <c r="L71" i="19"/>
  <c r="N71" i="19"/>
  <c r="L88" i="19"/>
  <c r="N88" i="19" s="1"/>
  <c r="O88" i="19" s="1"/>
  <c r="L70" i="19"/>
  <c r="N70" i="19"/>
  <c r="D52" i="19"/>
  <c r="L72" i="19"/>
  <c r="N72" i="19"/>
  <c r="L92" i="19"/>
  <c r="N92" i="19" s="1"/>
  <c r="O92" i="19" s="1"/>
  <c r="L73" i="19"/>
  <c r="D53" i="19"/>
  <c r="E53" i="19" s="1"/>
  <c r="L79" i="19"/>
  <c r="N79" i="19" s="1"/>
  <c r="L97" i="19"/>
  <c r="N97" i="19" s="1"/>
  <c r="O97" i="19" s="1"/>
  <c r="D50" i="19"/>
  <c r="C7" i="11"/>
  <c r="O72" i="19"/>
  <c r="L90" i="19"/>
  <c r="N90" i="19"/>
  <c r="O90" i="19" s="1"/>
  <c r="D92" i="19"/>
  <c r="F92" i="19" s="1"/>
  <c r="B280" i="9"/>
  <c r="C118" i="8"/>
  <c r="C119" i="8"/>
  <c r="E128" i="8"/>
  <c r="B279" i="8"/>
  <c r="F9" i="11"/>
  <c r="G9" i="11"/>
  <c r="H9" i="11"/>
  <c r="I9" i="11"/>
  <c r="J9" i="11"/>
  <c r="K9" i="11"/>
  <c r="L9" i="11"/>
  <c r="M9" i="11"/>
  <c r="N9" i="11"/>
  <c r="O9" i="11"/>
  <c r="P9" i="11"/>
  <c r="Q9" i="11"/>
  <c r="R9" i="11"/>
  <c r="S9" i="11"/>
  <c r="T9" i="11"/>
  <c r="U9" i="11"/>
  <c r="V9" i="11"/>
  <c r="W9" i="11"/>
  <c r="X9" i="11"/>
  <c r="Y9" i="11"/>
  <c r="Z9" i="11"/>
  <c r="I8" i="14"/>
  <c r="E30" i="21"/>
  <c r="E29" i="21"/>
  <c r="B82" i="15"/>
  <c r="E81" i="15"/>
  <c r="BZ9" i="3"/>
  <c r="BZ16" i="3"/>
  <c r="CA16" i="3" s="1"/>
  <c r="CB16" i="3" s="1"/>
  <c r="BG16" i="4"/>
  <c r="BI16" i="4" s="1"/>
  <c r="BH16" i="4"/>
  <c r="D160" i="8"/>
  <c r="C160" i="8"/>
  <c r="B91" i="15"/>
  <c r="BN18" i="4"/>
  <c r="BN19" i="4"/>
  <c r="H341" i="8"/>
  <c r="C65" i="15"/>
  <c r="F226" i="8"/>
  <c r="G318" i="8"/>
  <c r="K345" i="8"/>
  <c r="D319" i="8"/>
  <c r="O70" i="19"/>
  <c r="O71" i="19"/>
  <c r="F225" i="8"/>
  <c r="H340" i="8"/>
  <c r="I353" i="8"/>
  <c r="H254" i="8"/>
  <c r="I254" i="8"/>
  <c r="I329" i="8"/>
  <c r="E255" i="8"/>
  <c r="N73" i="19"/>
  <c r="B55" i="15"/>
  <c r="E160" i="8"/>
  <c r="H159" i="8"/>
  <c r="C213" i="8"/>
  <c r="C214" i="8"/>
  <c r="C215" i="8"/>
  <c r="E223" i="8"/>
  <c r="D255" i="8"/>
  <c r="I345" i="8"/>
  <c r="F337" i="8"/>
  <c r="C43" i="15"/>
  <c r="D43" i="15"/>
  <c r="E43" i="15"/>
  <c r="F158" i="8"/>
  <c r="I158" i="8"/>
  <c r="F329" i="8"/>
  <c r="AI16" i="4"/>
  <c r="AT9" i="3"/>
  <c r="AT16" i="3" s="1"/>
  <c r="AJ16" i="4"/>
  <c r="L80" i="19"/>
  <c r="L89" i="19"/>
  <c r="N89" i="19" s="1"/>
  <c r="L82" i="19"/>
  <c r="N82" i="19"/>
  <c r="O82" i="19" s="1"/>
  <c r="L91" i="19"/>
  <c r="N91" i="19"/>
  <c r="O91" i="19"/>
  <c r="L100" i="19"/>
  <c r="N100" i="19"/>
  <c r="O100" i="19" s="1"/>
  <c r="E31" i="19"/>
  <c r="J31" i="19" s="1"/>
  <c r="F31" i="19"/>
  <c r="C290" i="8"/>
  <c r="F354" i="8"/>
  <c r="H339" i="8"/>
  <c r="C63" i="15"/>
  <c r="F224" i="8"/>
  <c r="G223" i="8"/>
  <c r="D224" i="8"/>
  <c r="H346" i="8"/>
  <c r="F159" i="8"/>
  <c r="I159" i="8"/>
  <c r="F330" i="8"/>
  <c r="F338" i="8"/>
  <c r="G286" i="8"/>
  <c r="I286" i="8"/>
  <c r="J329" i="8"/>
  <c r="D287" i="8"/>
  <c r="J345" i="8"/>
  <c r="B269" i="8"/>
  <c r="B270" i="8"/>
  <c r="F288" i="8"/>
  <c r="B236" i="8"/>
  <c r="F255" i="8"/>
  <c r="B180" i="8"/>
  <c r="B181" i="8"/>
  <c r="B182" i="8"/>
  <c r="B183" i="8"/>
  <c r="D190" i="8"/>
  <c r="L106" i="19"/>
  <c r="H288" i="8"/>
  <c r="E289" i="8"/>
  <c r="D62" i="15"/>
  <c r="E62" i="15"/>
  <c r="C353" i="8"/>
  <c r="C192" i="8"/>
  <c r="G338" i="8"/>
  <c r="D354" i="8"/>
  <c r="AE16" i="3"/>
  <c r="AF16" i="3"/>
  <c r="E318" i="8"/>
  <c r="C318" i="8"/>
  <c r="F222" i="8"/>
  <c r="I222" i="8"/>
  <c r="H329" i="8"/>
  <c r="C257" i="8"/>
  <c r="E191" i="8"/>
  <c r="G337" i="8"/>
  <c r="C52" i="15"/>
  <c r="D52" i="15"/>
  <c r="E52" i="15"/>
  <c r="F190" i="8"/>
  <c r="B44" i="15"/>
  <c r="F192" i="8"/>
  <c r="C193" i="8"/>
  <c r="G339" i="8"/>
  <c r="C54" i="15"/>
  <c r="F290" i="8"/>
  <c r="J341" i="8"/>
  <c r="C83" i="15"/>
  <c r="D83" i="15"/>
  <c r="D256" i="8"/>
  <c r="G255" i="8"/>
  <c r="I346" i="8"/>
  <c r="F355" i="8"/>
  <c r="H160" i="8"/>
  <c r="E161" i="8"/>
  <c r="O73" i="19"/>
  <c r="N109" i="19"/>
  <c r="O109" i="19"/>
  <c r="G319" i="8"/>
  <c r="D320" i="8"/>
  <c r="K346" i="8"/>
  <c r="E192" i="8"/>
  <c r="G354" i="8"/>
  <c r="H191" i="8"/>
  <c r="I340" i="8"/>
  <c r="C73" i="15"/>
  <c r="D73" i="15"/>
  <c r="E73" i="15"/>
  <c r="C258" i="8"/>
  <c r="K337" i="8"/>
  <c r="C88" i="15"/>
  <c r="D88" i="15"/>
  <c r="E88" i="15"/>
  <c r="C319" i="8"/>
  <c r="F318" i="8"/>
  <c r="D288" i="8"/>
  <c r="J346" i="8"/>
  <c r="G287" i="8"/>
  <c r="I287" i="8"/>
  <c r="D63" i="15"/>
  <c r="E63" i="15"/>
  <c r="F289" i="8"/>
  <c r="L109" i="19"/>
  <c r="C64" i="15"/>
  <c r="D64" i="15"/>
  <c r="E64" i="15"/>
  <c r="F347" i="8"/>
  <c r="D161" i="8"/>
  <c r="G160" i="8"/>
  <c r="B56" i="15"/>
  <c r="B92" i="15"/>
  <c r="I9" i="14"/>
  <c r="E31" i="21"/>
  <c r="H318" i="8"/>
  <c r="E319" i="8"/>
  <c r="K353" i="8"/>
  <c r="G224" i="8"/>
  <c r="D225" i="8"/>
  <c r="H347" i="8"/>
  <c r="B83" i="15"/>
  <c r="E83" i="15"/>
  <c r="E82" i="15"/>
  <c r="J356" i="8"/>
  <c r="H289" i="8"/>
  <c r="E290" i="8"/>
  <c r="G190" i="8"/>
  <c r="I190" i="8"/>
  <c r="G329" i="8"/>
  <c r="G345" i="8"/>
  <c r="D191" i="8"/>
  <c r="H354" i="8"/>
  <c r="E224" i="8"/>
  <c r="H223" i="8"/>
  <c r="I223" i="8"/>
  <c r="H330" i="8"/>
  <c r="F160" i="8"/>
  <c r="I160" i="8"/>
  <c r="F331" i="8"/>
  <c r="F339" i="8"/>
  <c r="C45" i="15"/>
  <c r="D45" i="15"/>
  <c r="C161" i="8"/>
  <c r="B45" i="15"/>
  <c r="E44" i="15"/>
  <c r="C53" i="15"/>
  <c r="D53" i="15"/>
  <c r="E53" i="15"/>
  <c r="B237" i="8"/>
  <c r="B238" i="8"/>
  <c r="F256" i="8"/>
  <c r="C44" i="15"/>
  <c r="D44" i="15"/>
  <c r="N80" i="19"/>
  <c r="L107" i="19"/>
  <c r="E256" i="8"/>
  <c r="H255" i="8"/>
  <c r="I255" i="8"/>
  <c r="I354" i="8"/>
  <c r="I330" i="8"/>
  <c r="J330" i="8"/>
  <c r="F319" i="8"/>
  <c r="C320" i="8"/>
  <c r="K338" i="8"/>
  <c r="C89" i="15"/>
  <c r="D89" i="15"/>
  <c r="E89" i="15"/>
  <c r="F257" i="8"/>
  <c r="H290" i="8"/>
  <c r="J357" i="8"/>
  <c r="D65" i="15"/>
  <c r="E65" i="15"/>
  <c r="E162" i="8"/>
  <c r="H161" i="8"/>
  <c r="F356" i="8"/>
  <c r="D54" i="15"/>
  <c r="E54" i="15"/>
  <c r="H319" i="8"/>
  <c r="K354" i="8"/>
  <c r="E320" i="8"/>
  <c r="O80" i="19"/>
  <c r="B46" i="15"/>
  <c r="E45" i="15"/>
  <c r="D192" i="8"/>
  <c r="G191" i="8"/>
  <c r="I191" i="8"/>
  <c r="G330" i="8"/>
  <c r="G346" i="8"/>
  <c r="G225" i="8"/>
  <c r="D226" i="8"/>
  <c r="H348" i="8"/>
  <c r="I10" i="14"/>
  <c r="E32" i="21"/>
  <c r="J347" i="8"/>
  <c r="D289" i="8"/>
  <c r="G288" i="8"/>
  <c r="I288" i="8"/>
  <c r="F258" i="8"/>
  <c r="I341" i="8"/>
  <c r="C74" i="15"/>
  <c r="D74" i="15"/>
  <c r="E74" i="15"/>
  <c r="I347" i="8"/>
  <c r="D257" i="8"/>
  <c r="G256" i="8"/>
  <c r="F193" i="8"/>
  <c r="G340" i="8"/>
  <c r="C55" i="15"/>
  <c r="C194" i="8"/>
  <c r="I355" i="8"/>
  <c r="H256" i="8"/>
  <c r="E257" i="8"/>
  <c r="I256" i="8"/>
  <c r="F340" i="8"/>
  <c r="C46" i="15"/>
  <c r="D46" i="15"/>
  <c r="F161" i="8"/>
  <c r="C162" i="8"/>
  <c r="H224" i="8"/>
  <c r="I224" i="8"/>
  <c r="H331" i="8"/>
  <c r="H355" i="8"/>
  <c r="E225" i="8"/>
  <c r="D162" i="8"/>
  <c r="G161" i="8"/>
  <c r="F348" i="8"/>
  <c r="I318" i="8"/>
  <c r="K329" i="8"/>
  <c r="H192" i="8"/>
  <c r="G355" i="8"/>
  <c r="E193" i="8"/>
  <c r="D321" i="8"/>
  <c r="G320" i="8"/>
  <c r="K347" i="8"/>
  <c r="D258" i="8"/>
  <c r="I348" i="8"/>
  <c r="G257" i="8"/>
  <c r="G226" i="8"/>
  <c r="H349" i="8"/>
  <c r="I257" i="8"/>
  <c r="F341" i="8"/>
  <c r="C47" i="15"/>
  <c r="D47" i="15"/>
  <c r="F162" i="8"/>
  <c r="I162" i="8"/>
  <c r="F333" i="8" s="1"/>
  <c r="D55" i="15"/>
  <c r="E55" i="15"/>
  <c r="B47" i="15"/>
  <c r="E47" i="15"/>
  <c r="E46" i="15"/>
  <c r="H193" i="8"/>
  <c r="E194" i="8"/>
  <c r="G356" i="8"/>
  <c r="G162" i="8"/>
  <c r="F349" i="8"/>
  <c r="H356" i="8"/>
  <c r="E226" i="8"/>
  <c r="H225" i="8"/>
  <c r="I225" i="8"/>
  <c r="H332" i="8"/>
  <c r="I161" i="8"/>
  <c r="F332" i="8"/>
  <c r="I11" i="14"/>
  <c r="I12" i="14"/>
  <c r="D193" i="8"/>
  <c r="G192" i="8"/>
  <c r="I192" i="8"/>
  <c r="G331" i="8"/>
  <c r="G347" i="8"/>
  <c r="H162" i="8"/>
  <c r="F357" i="8"/>
  <c r="F320" i="8"/>
  <c r="I320" i="8"/>
  <c r="K331" i="8"/>
  <c r="K339" i="8"/>
  <c r="C90" i="15"/>
  <c r="D90" i="15"/>
  <c r="E90" i="15"/>
  <c r="C321" i="8"/>
  <c r="H257" i="8"/>
  <c r="E258" i="8"/>
  <c r="I356" i="8"/>
  <c r="G341" i="8"/>
  <c r="C56" i="15"/>
  <c r="F194" i="8"/>
  <c r="E321" i="8"/>
  <c r="K355" i="8"/>
  <c r="H320" i="8"/>
  <c r="D322" i="8"/>
  <c r="K348" i="8"/>
  <c r="G321" i="8"/>
  <c r="I331" i="8"/>
  <c r="J331" i="8"/>
  <c r="J348" i="8"/>
  <c r="G289" i="8"/>
  <c r="I289" i="8"/>
  <c r="D290" i="8"/>
  <c r="I319" i="8"/>
  <c r="K330" i="8"/>
  <c r="E322" i="8"/>
  <c r="K356" i="8"/>
  <c r="H321" i="8"/>
  <c r="H194" i="8"/>
  <c r="G357" i="8"/>
  <c r="H258" i="8"/>
  <c r="I357" i="8"/>
  <c r="D56" i="15"/>
  <c r="E56" i="15"/>
  <c r="F321" i="8"/>
  <c r="I321" i="8"/>
  <c r="K332" i="8"/>
  <c r="C322" i="8"/>
  <c r="K340" i="8"/>
  <c r="C91" i="15"/>
  <c r="D91" i="15"/>
  <c r="E91" i="15"/>
  <c r="G348" i="8"/>
  <c r="D194" i="8"/>
  <c r="G193" i="8"/>
  <c r="I193" i="8"/>
  <c r="G332" i="8"/>
  <c r="H226" i="8"/>
  <c r="I226" i="8"/>
  <c r="H333" i="8"/>
  <c r="H357" i="8"/>
  <c r="G258" i="8"/>
  <c r="I258" i="8"/>
  <c r="I349" i="8"/>
  <c r="J332" i="8"/>
  <c r="I332" i="8"/>
  <c r="J349" i="8"/>
  <c r="G290" i="8"/>
  <c r="I290" i="8"/>
  <c r="K349" i="8"/>
  <c r="G322" i="8"/>
  <c r="K357" i="8"/>
  <c r="H322" i="8"/>
  <c r="I333" i="8"/>
  <c r="J333" i="8"/>
  <c r="F322" i="8"/>
  <c r="I322" i="8"/>
  <c r="K333" i="8"/>
  <c r="K341" i="8"/>
  <c r="C92" i="15"/>
  <c r="D92" i="15"/>
  <c r="E92" i="15"/>
  <c r="G194" i="8"/>
  <c r="I194" i="8"/>
  <c r="G333" i="8"/>
  <c r="G349" i="8"/>
  <c r="E8" i="11"/>
  <c r="F8" i="11"/>
  <c r="D7" i="11"/>
  <c r="E7" i="11"/>
  <c r="F70" i="19"/>
  <c r="D88" i="19"/>
  <c r="F88" i="19" s="1"/>
  <c r="G88" i="19" s="1"/>
  <c r="D74" i="19"/>
  <c r="F74" i="19"/>
  <c r="D83" i="19"/>
  <c r="F83" i="19" s="1"/>
  <c r="F7" i="11"/>
  <c r="G8" i="11"/>
  <c r="G7" i="11"/>
  <c r="H8" i="11"/>
  <c r="H7" i="11"/>
  <c r="I8" i="11"/>
  <c r="I7" i="11"/>
  <c r="J8" i="11"/>
  <c r="J7" i="11"/>
  <c r="K8" i="11"/>
  <c r="K7" i="11"/>
  <c r="L8" i="11"/>
  <c r="L7" i="11"/>
  <c r="M8" i="11"/>
  <c r="M7" i="11"/>
  <c r="N8" i="11"/>
  <c r="O8" i="11"/>
  <c r="N7" i="11"/>
  <c r="P8" i="11"/>
  <c r="O7" i="11"/>
  <c r="P7" i="11"/>
  <c r="Q8" i="11"/>
  <c r="R8" i="11"/>
  <c r="Q7" i="11"/>
  <c r="S8" i="11"/>
  <c r="R7" i="11"/>
  <c r="S7" i="11"/>
  <c r="T8" i="11"/>
  <c r="U8" i="11"/>
  <c r="T7" i="11"/>
  <c r="U7" i="11"/>
  <c r="V8" i="11"/>
  <c r="W8" i="11"/>
  <c r="V7" i="11"/>
  <c r="X8" i="11"/>
  <c r="W7" i="11"/>
  <c r="X7" i="11"/>
  <c r="Y8" i="11"/>
  <c r="Z8" i="11"/>
  <c r="Z7" i="11"/>
  <c r="Y7" i="11"/>
  <c r="AO16" i="4"/>
  <c r="AS16" i="4"/>
  <c r="AR16" i="4"/>
  <c r="BG16" i="3"/>
  <c r="BH16" i="3" s="1"/>
  <c r="BC16" i="3"/>
  <c r="BD16" i="3" s="1"/>
  <c r="B18" i="11"/>
  <c r="I7" i="2"/>
  <c r="G29" i="21"/>
  <c r="D12" i="11"/>
  <c r="E284" i="9"/>
  <c r="C12" i="11"/>
  <c r="D283" i="9"/>
  <c r="F285" i="9"/>
  <c r="F10" i="11"/>
  <c r="E10" i="11"/>
  <c r="D10" i="11"/>
  <c r="I13" i="14"/>
  <c r="E34" i="21"/>
  <c r="E33" i="21"/>
  <c r="H13" i="11"/>
  <c r="J32" i="21"/>
  <c r="BN20" i="4"/>
  <c r="J31" i="21"/>
  <c r="H95" i="8"/>
  <c r="D89" i="19"/>
  <c r="F89" i="19" s="1"/>
  <c r="D71" i="19"/>
  <c r="F71" i="19" s="1"/>
  <c r="D79" i="19"/>
  <c r="F79" i="19" s="1"/>
  <c r="D80" i="19"/>
  <c r="F80" i="19" s="1"/>
  <c r="D98" i="19"/>
  <c r="H17" i="19"/>
  <c r="H26" i="19"/>
  <c r="C18" i="11"/>
  <c r="C6" i="18"/>
  <c r="E12" i="11"/>
  <c r="F284" i="9"/>
  <c r="F12" i="11"/>
  <c r="G12" i="11"/>
  <c r="H12" i="11"/>
  <c r="I12" i="11"/>
  <c r="J12" i="11"/>
  <c r="K12" i="11"/>
  <c r="L12" i="11"/>
  <c r="M12" i="11"/>
  <c r="N12" i="11"/>
  <c r="O12" i="11"/>
  <c r="P12" i="11"/>
  <c r="Q12" i="11"/>
  <c r="R12" i="11"/>
  <c r="S12" i="11"/>
  <c r="T12" i="11"/>
  <c r="U12" i="11"/>
  <c r="V12" i="11"/>
  <c r="W12" i="11"/>
  <c r="X12" i="11"/>
  <c r="Y12" i="11"/>
  <c r="Z12" i="11"/>
  <c r="D11" i="11"/>
  <c r="D15" i="11"/>
  <c r="E283" i="9"/>
  <c r="CM18" i="3"/>
  <c r="G10" i="11"/>
  <c r="I14" i="14"/>
  <c r="E35" i="21"/>
  <c r="I13" i="11"/>
  <c r="I8" i="2"/>
  <c r="G30" i="21"/>
  <c r="C7" i="18"/>
  <c r="N7" i="18"/>
  <c r="J33" i="21"/>
  <c r="BN21" i="4"/>
  <c r="C8" i="18"/>
  <c r="N8" i="18"/>
  <c r="E11" i="11"/>
  <c r="E15" i="11"/>
  <c r="E18" i="11"/>
  <c r="C9" i="18"/>
  <c r="N9" i="18"/>
  <c r="F283" i="9"/>
  <c r="CM19" i="3"/>
  <c r="H10" i="11"/>
  <c r="E36" i="21"/>
  <c r="I15" i="14"/>
  <c r="J13" i="11"/>
  <c r="J34" i="21"/>
  <c r="BN22" i="4"/>
  <c r="I9" i="2"/>
  <c r="G31" i="21"/>
  <c r="F11" i="11"/>
  <c r="CM20" i="3"/>
  <c r="CM21" i="3"/>
  <c r="CM22" i="3"/>
  <c r="CM23" i="3"/>
  <c r="CM24" i="3"/>
  <c r="CM25" i="3"/>
  <c r="CM26" i="3"/>
  <c r="CM27" i="3"/>
  <c r="CM28" i="3"/>
  <c r="CM29" i="3"/>
  <c r="CM30" i="3"/>
  <c r="CM31" i="3"/>
  <c r="CM32" i="3"/>
  <c r="CM33" i="3"/>
  <c r="CM34" i="3"/>
  <c r="CM35" i="3"/>
  <c r="CM36" i="3"/>
  <c r="CM37" i="3"/>
  <c r="CM38" i="3"/>
  <c r="CM39" i="3"/>
  <c r="CM40" i="3"/>
  <c r="I10" i="11"/>
  <c r="I16" i="14"/>
  <c r="E37" i="21"/>
  <c r="K13" i="11"/>
  <c r="I10" i="2"/>
  <c r="G32" i="21"/>
  <c r="BN23" i="4"/>
  <c r="J35" i="21"/>
  <c r="G11" i="11"/>
  <c r="F15" i="11"/>
  <c r="F18" i="11"/>
  <c r="G18" i="11"/>
  <c r="J10" i="11"/>
  <c r="I17" i="14"/>
  <c r="E38" i="21"/>
  <c r="L13" i="11"/>
  <c r="J36" i="21"/>
  <c r="BN24" i="4"/>
  <c r="C10" i="18"/>
  <c r="N10" i="18"/>
  <c r="H11" i="11"/>
  <c r="G15" i="11"/>
  <c r="K10" i="11"/>
  <c r="E39" i="21"/>
  <c r="I18" i="14"/>
  <c r="M13" i="11"/>
  <c r="J37" i="21"/>
  <c r="BN25" i="4"/>
  <c r="I11" i="11"/>
  <c r="H15" i="11"/>
  <c r="L10" i="11"/>
  <c r="E40" i="21"/>
  <c r="I19" i="14"/>
  <c r="N13" i="11"/>
  <c r="J38" i="21"/>
  <c r="BN26" i="4"/>
  <c r="J11" i="11"/>
  <c r="I15" i="11"/>
  <c r="M10" i="11"/>
  <c r="E41" i="21"/>
  <c r="I20" i="14"/>
  <c r="O13" i="11"/>
  <c r="BN27" i="4"/>
  <c r="J39" i="21"/>
  <c r="K11" i="11"/>
  <c r="J15" i="11"/>
  <c r="N10" i="11"/>
  <c r="E42" i="21"/>
  <c r="I21" i="14"/>
  <c r="P13" i="11"/>
  <c r="BN28" i="4"/>
  <c r="J40" i="21"/>
  <c r="L11" i="11"/>
  <c r="K15" i="11"/>
  <c r="O10" i="11"/>
  <c r="E43" i="21"/>
  <c r="I22" i="14"/>
  <c r="Q13" i="11"/>
  <c r="BN29" i="4"/>
  <c r="J41" i="21"/>
  <c r="M11" i="11"/>
  <c r="L15" i="11"/>
  <c r="P10" i="11"/>
  <c r="E44" i="21"/>
  <c r="I23" i="14"/>
  <c r="R13" i="11"/>
  <c r="BN30" i="4"/>
  <c r="J42" i="21"/>
  <c r="N11" i="11"/>
  <c r="M15" i="11"/>
  <c r="Q10" i="11"/>
  <c r="E45" i="21"/>
  <c r="I24" i="14"/>
  <c r="S13" i="11"/>
  <c r="J43" i="21"/>
  <c r="BN31" i="4"/>
  <c r="O11" i="11"/>
  <c r="N15" i="11"/>
  <c r="R10" i="11"/>
  <c r="I25" i="14"/>
  <c r="E46" i="21"/>
  <c r="T13" i="11"/>
  <c r="BN32" i="4"/>
  <c r="J44" i="21"/>
  <c r="P11" i="11"/>
  <c r="O15" i="11"/>
  <c r="S10" i="11"/>
  <c r="I26" i="14"/>
  <c r="E47" i="21"/>
  <c r="U13" i="11"/>
  <c r="J45" i="21"/>
  <c r="BN33" i="4"/>
  <c r="Q11" i="11"/>
  <c r="P15" i="11"/>
  <c r="T10" i="11"/>
  <c r="I27" i="14"/>
  <c r="E48" i="21"/>
  <c r="V13" i="11"/>
  <c r="J46" i="21"/>
  <c r="BN34" i="4"/>
  <c r="R11" i="11"/>
  <c r="Q15" i="11"/>
  <c r="U10" i="11"/>
  <c r="I28" i="14"/>
  <c r="E49" i="21"/>
  <c r="W13" i="11"/>
  <c r="BN35" i="4"/>
  <c r="J47" i="21"/>
  <c r="S11" i="11"/>
  <c r="R15" i="11"/>
  <c r="V10" i="11"/>
  <c r="I29" i="14"/>
  <c r="E50" i="21"/>
  <c r="X13" i="11"/>
  <c r="BN36" i="4"/>
  <c r="J48" i="21"/>
  <c r="T11" i="11"/>
  <c r="S15" i="11"/>
  <c r="W10" i="11"/>
  <c r="I30" i="14"/>
  <c r="E51" i="21"/>
  <c r="Y13" i="11"/>
  <c r="J49" i="21"/>
  <c r="BN37" i="4"/>
  <c r="U11" i="11"/>
  <c r="T15" i="11"/>
  <c r="X10" i="11"/>
  <c r="I31" i="14"/>
  <c r="E53" i="21"/>
  <c r="E52" i="21"/>
  <c r="Z13" i="11"/>
  <c r="J50" i="21"/>
  <c r="BN38" i="4"/>
  <c r="V11" i="11"/>
  <c r="U15" i="11"/>
  <c r="Y10" i="11"/>
  <c r="J51" i="21"/>
  <c r="BN39" i="4"/>
  <c r="W11" i="11"/>
  <c r="V15" i="11"/>
  <c r="Z10" i="11"/>
  <c r="BN40" i="4"/>
  <c r="J53" i="21"/>
  <c r="J52" i="21"/>
  <c r="X11" i="11"/>
  <c r="W15" i="11"/>
  <c r="Y11" i="11"/>
  <c r="X15" i="11"/>
  <c r="Z11" i="11"/>
  <c r="Z15" i="11"/>
  <c r="Y15" i="11"/>
  <c r="C11" i="18"/>
  <c r="N11" i="18"/>
  <c r="H18" i="11"/>
  <c r="I12" i="2"/>
  <c r="G34" i="21"/>
  <c r="I11" i="2"/>
  <c r="G33" i="21"/>
  <c r="E30" i="8"/>
  <c r="I13" i="2"/>
  <c r="G35" i="21"/>
  <c r="C12" i="18"/>
  <c r="N12" i="18"/>
  <c r="I18" i="11"/>
  <c r="I14" i="2"/>
  <c r="G36" i="21"/>
  <c r="J18" i="11"/>
  <c r="C13" i="18"/>
  <c r="N13" i="18"/>
  <c r="K18" i="11"/>
  <c r="I15" i="2"/>
  <c r="G37" i="21"/>
  <c r="C14" i="18"/>
  <c r="N14" i="18"/>
  <c r="I16" i="2"/>
  <c r="G38" i="21"/>
  <c r="C15" i="18"/>
  <c r="N15" i="18"/>
  <c r="L18" i="11"/>
  <c r="C16" i="18"/>
  <c r="N16" i="18"/>
  <c r="M18" i="11"/>
  <c r="I17" i="2"/>
  <c r="G39" i="21"/>
  <c r="C17" i="18"/>
  <c r="N17" i="18"/>
  <c r="I18" i="2"/>
  <c r="G40" i="21"/>
  <c r="N18" i="11"/>
  <c r="C18" i="18"/>
  <c r="N18" i="18"/>
  <c r="I19" i="2"/>
  <c r="G41" i="21"/>
  <c r="O18" i="11"/>
  <c r="I20" i="2"/>
  <c r="G42" i="21"/>
  <c r="C19" i="18"/>
  <c r="N19" i="18"/>
  <c r="P18" i="11"/>
  <c r="C20" i="18"/>
  <c r="N20" i="18"/>
  <c r="I21" i="2"/>
  <c r="G43" i="21"/>
  <c r="Q18" i="11"/>
  <c r="I22" i="2"/>
  <c r="G44" i="21"/>
  <c r="C21" i="18"/>
  <c r="N21" i="18"/>
  <c r="R18" i="11"/>
  <c r="S18" i="11"/>
  <c r="C22" i="18"/>
  <c r="N22" i="18"/>
  <c r="I23" i="2"/>
  <c r="G45" i="21"/>
  <c r="C23" i="18"/>
  <c r="N23" i="18"/>
  <c r="I24" i="2"/>
  <c r="G46" i="21"/>
  <c r="T18" i="11"/>
  <c r="C24" i="18"/>
  <c r="N24" i="18"/>
  <c r="U18" i="11"/>
  <c r="I25" i="2"/>
  <c r="G47" i="21"/>
  <c r="I26" i="2"/>
  <c r="G48" i="21"/>
  <c r="V18" i="11"/>
  <c r="C25" i="18"/>
  <c r="N25" i="18"/>
  <c r="I27" i="2"/>
  <c r="G49" i="21"/>
  <c r="C26" i="18"/>
  <c r="N26" i="18"/>
  <c r="W18" i="11"/>
  <c r="I28" i="2"/>
  <c r="G50" i="21"/>
  <c r="C27" i="18"/>
  <c r="N27" i="18"/>
  <c r="X18" i="11"/>
  <c r="Y18" i="11"/>
  <c r="C28" i="18"/>
  <c r="N28" i="18"/>
  <c r="I29" i="2"/>
  <c r="G51" i="21"/>
  <c r="I30" i="2"/>
  <c r="G52" i="21"/>
  <c r="Z18" i="11"/>
  <c r="C29" i="18"/>
  <c r="N29" i="18"/>
  <c r="C30" i="18"/>
  <c r="N30" i="18"/>
  <c r="I31" i="2"/>
  <c r="G53" i="21"/>
  <c r="H22" i="19" l="1"/>
  <c r="H40" i="19"/>
  <c r="H31" i="19"/>
  <c r="H49" i="19" s="1"/>
  <c r="F101" i="19"/>
  <c r="D72" i="19"/>
  <c r="F72" i="19" s="1"/>
  <c r="D90" i="19"/>
  <c r="F90" i="19" s="1"/>
  <c r="F98" i="19"/>
  <c r="G98" i="19" s="1"/>
  <c r="F73" i="19"/>
  <c r="G73" i="19" s="1"/>
  <c r="D100" i="19"/>
  <c r="F100" i="19" s="1"/>
  <c r="G100" i="19" s="1"/>
  <c r="D91" i="19"/>
  <c r="F91" i="19" s="1"/>
  <c r="D82" i="19"/>
  <c r="F82" i="19" s="1"/>
  <c r="F109" i="19" s="1"/>
  <c r="D107" i="19"/>
  <c r="D110" i="19"/>
  <c r="D99" i="19"/>
  <c r="F99" i="19" s="1"/>
  <c r="G99" i="19" s="1"/>
  <c r="G101" i="19"/>
  <c r="F34" i="19"/>
  <c r="L34" i="19" s="1"/>
  <c r="G80" i="19"/>
  <c r="H42" i="19"/>
  <c r="L16" i="19"/>
  <c r="E15" i="19"/>
  <c r="J15" i="19" s="1"/>
  <c r="K15" i="19" s="1"/>
  <c r="L15" i="19" s="1"/>
  <c r="J13" i="19"/>
  <c r="G70" i="19"/>
  <c r="H48" i="10"/>
  <c r="D38" i="10"/>
  <c r="K21" i="20" s="1"/>
  <c r="B108" i="8"/>
  <c r="D108" i="8"/>
  <c r="D109" i="8" s="1"/>
  <c r="D110" i="8" s="1"/>
  <c r="H127" i="8"/>
  <c r="B76" i="8"/>
  <c r="B44" i="8"/>
  <c r="B12" i="8"/>
  <c r="H62" i="8"/>
  <c r="H30" i="8"/>
  <c r="L44" i="19"/>
  <c r="F42" i="19"/>
  <c r="L42" i="19" s="1"/>
  <c r="E40" i="19"/>
  <c r="J40" i="19" s="1"/>
  <c r="J45" i="19" s="1"/>
  <c r="B128" i="9" s="1"/>
  <c r="B180" i="9" s="1"/>
  <c r="L43" i="19"/>
  <c r="G92" i="19"/>
  <c r="L32" i="19"/>
  <c r="E33" i="19"/>
  <c r="J33" i="19" s="1"/>
  <c r="K33" i="19" s="1"/>
  <c r="L33" i="19" s="1"/>
  <c r="G89" i="19"/>
  <c r="C50" i="19"/>
  <c r="F50" i="19" s="1"/>
  <c r="L35" i="19"/>
  <c r="G91" i="19"/>
  <c r="H15" i="19"/>
  <c r="H16" i="19"/>
  <c r="H24" i="19"/>
  <c r="H44" i="19"/>
  <c r="H53" i="19" s="1"/>
  <c r="H41" i="19"/>
  <c r="L26" i="19"/>
  <c r="E25" i="19"/>
  <c r="J25" i="19" s="1"/>
  <c r="K25" i="19" s="1"/>
  <c r="C52" i="19"/>
  <c r="L24" i="19"/>
  <c r="F81" i="19"/>
  <c r="K31" i="19"/>
  <c r="L31" i="19" s="1"/>
  <c r="O89" i="19"/>
  <c r="O93" i="19" s="1"/>
  <c r="N107" i="19"/>
  <c r="O107" i="19" s="1"/>
  <c r="G79" i="19"/>
  <c r="K22" i="19"/>
  <c r="L22" i="19" s="1"/>
  <c r="O102" i="19"/>
  <c r="O74" i="19"/>
  <c r="O79" i="19"/>
  <c r="N106" i="19"/>
  <c r="O106" i="19" s="1"/>
  <c r="F97" i="19"/>
  <c r="D106" i="19"/>
  <c r="L110" i="19"/>
  <c r="N101" i="19"/>
  <c r="O101" i="19" s="1"/>
  <c r="L41" i="19"/>
  <c r="F110" i="19"/>
  <c r="G110" i="19" s="1"/>
  <c r="G83" i="19"/>
  <c r="L108" i="19"/>
  <c r="N81" i="19"/>
  <c r="G74" i="19"/>
  <c r="L25" i="19"/>
  <c r="C51" i="19"/>
  <c r="G71" i="19"/>
  <c r="L23" i="19"/>
  <c r="H14" i="19"/>
  <c r="H34" i="19"/>
  <c r="H25" i="19"/>
  <c r="H23" i="19"/>
  <c r="J53" i="19"/>
  <c r="F53" i="19"/>
  <c r="C49" i="19"/>
  <c r="J17" i="19"/>
  <c r="K17" i="19" s="1"/>
  <c r="L17" i="19" s="1"/>
  <c r="J14" i="19"/>
  <c r="K14" i="19" s="1"/>
  <c r="L14" i="19" s="1"/>
  <c r="F13" i="19"/>
  <c r="G72" i="19"/>
  <c r="G201" i="9"/>
  <c r="Q16" i="4"/>
  <c r="S16" i="4" s="1"/>
  <c r="Q17" i="4" s="1"/>
  <c r="R17" i="4" s="1"/>
  <c r="S17" i="4" s="1"/>
  <c r="Q18" i="4" s="1"/>
  <c r="R18" i="4" s="1"/>
  <c r="S18" i="4" s="1"/>
  <c r="Q19" i="4" s="1"/>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10" i="3"/>
  <c r="A11" i="3" s="1"/>
  <c r="A12" i="3" s="1"/>
  <c r="A13" i="3" s="1"/>
  <c r="A8" i="2"/>
  <c r="A10" i="4"/>
  <c r="A11" i="4" s="1"/>
  <c r="A12" i="4" s="1"/>
  <c r="A13" i="4" s="1"/>
  <c r="A68" i="9"/>
  <c r="A81" i="9" s="1"/>
  <c r="A94" i="9" s="1"/>
  <c r="A107" i="9" s="1"/>
  <c r="G6" i="18"/>
  <c r="B353" i="8"/>
  <c r="L353" i="8" s="1"/>
  <c r="M353" i="8" s="1"/>
  <c r="D355" i="8"/>
  <c r="E97" i="8"/>
  <c r="H96" i="8"/>
  <c r="E129" i="8"/>
  <c r="E356" i="8" s="1"/>
  <c r="C127" i="8"/>
  <c r="F126" i="8"/>
  <c r="E337" i="8"/>
  <c r="C34" i="15" s="1"/>
  <c r="D34" i="15" s="1"/>
  <c r="C337" i="8"/>
  <c r="C16" i="15" s="1"/>
  <c r="D16" i="15" s="1"/>
  <c r="F62" i="8"/>
  <c r="C63" i="8"/>
  <c r="E64" i="8"/>
  <c r="H63" i="8"/>
  <c r="C354" i="8"/>
  <c r="F94" i="8"/>
  <c r="C95" i="8"/>
  <c r="D337" i="8"/>
  <c r="C25" i="15" s="1"/>
  <c r="D25" i="15" s="1"/>
  <c r="E355" i="8"/>
  <c r="E130" i="8"/>
  <c r="H94" i="8"/>
  <c r="G41" i="20"/>
  <c r="B337" i="8"/>
  <c r="F30" i="8"/>
  <c r="C31" i="8"/>
  <c r="F31" i="8" s="1"/>
  <c r="E31" i="8"/>
  <c r="AT16" i="4"/>
  <c r="AR17" i="4" s="1"/>
  <c r="AS17" i="4" s="1"/>
  <c r="AT17" i="4" s="1"/>
  <c r="AR18" i="4" s="1"/>
  <c r="BF17" i="3"/>
  <c r="BF18" i="3" s="1"/>
  <c r="L16" i="4"/>
  <c r="K16" i="4"/>
  <c r="N17" i="3"/>
  <c r="O17" i="3" s="1"/>
  <c r="P17" i="3" s="1"/>
  <c r="Q17" i="3" s="1"/>
  <c r="BL16" i="4"/>
  <c r="CH16" i="3" s="1"/>
  <c r="C8" i="13"/>
  <c r="E7" i="13"/>
  <c r="BF16" i="4"/>
  <c r="BD17" i="4" s="1"/>
  <c r="AE16" i="4"/>
  <c r="AC17" i="4" s="1"/>
  <c r="AD17" i="4" s="1"/>
  <c r="AQ16" i="4"/>
  <c r="AO17" i="4" s="1"/>
  <c r="F9" i="3"/>
  <c r="F16" i="3" s="1"/>
  <c r="AL9" i="3"/>
  <c r="AL16" i="3" s="1"/>
  <c r="BE16" i="4"/>
  <c r="C36" i="20"/>
  <c r="E16" i="4"/>
  <c r="G16" i="4" s="1"/>
  <c r="E17" i="4" s="1"/>
  <c r="AD16" i="4"/>
  <c r="AD17" i="3"/>
  <c r="AE17" i="3" s="1"/>
  <c r="AF17" i="3" s="1"/>
  <c r="H8" i="18"/>
  <c r="V9" i="3"/>
  <c r="V16" i="3" s="1"/>
  <c r="W16" i="3" s="1"/>
  <c r="X16" i="3" s="1"/>
  <c r="Y16" i="3" s="1"/>
  <c r="BB17" i="3"/>
  <c r="AK16" i="4"/>
  <c r="AI17" i="4" s="1"/>
  <c r="AJ17" i="4" s="1"/>
  <c r="AK17" i="4" s="1"/>
  <c r="AI18" i="4" s="1"/>
  <c r="B16" i="4"/>
  <c r="J16" i="4"/>
  <c r="H17" i="4" s="1"/>
  <c r="I17" i="4" s="1"/>
  <c r="J17" i="4" s="1"/>
  <c r="H18" i="4" s="1"/>
  <c r="BC17" i="3"/>
  <c r="BD17" i="3" s="1"/>
  <c r="BB18" i="3"/>
  <c r="BG17" i="4"/>
  <c r="BH17" i="4" s="1"/>
  <c r="BI17" i="4" s="1"/>
  <c r="BG18" i="4" s="1"/>
  <c r="C231" i="9"/>
  <c r="H7" i="18" s="1"/>
  <c r="BE16" i="3"/>
  <c r="BK16" i="3"/>
  <c r="BL16" i="3" s="1"/>
  <c r="BM16" i="3" s="1"/>
  <c r="BJ17" i="3"/>
  <c r="AT17" i="3"/>
  <c r="AU16" i="3"/>
  <c r="AV16" i="3" s="1"/>
  <c r="AW16" i="3" s="1"/>
  <c r="BI16" i="3"/>
  <c r="BR17" i="3"/>
  <c r="BS16" i="3"/>
  <c r="BT16" i="3" s="1"/>
  <c r="BU16" i="3" s="1"/>
  <c r="AV17" i="4"/>
  <c r="AW17" i="4" s="1"/>
  <c r="AU18" i="4" s="1"/>
  <c r="AX9" i="3"/>
  <c r="AX16" i="3" s="1"/>
  <c r="AL16" i="4"/>
  <c r="AN16" i="4" s="1"/>
  <c r="AL17" i="4" s="1"/>
  <c r="BE17" i="4"/>
  <c r="BF17" i="4" s="1"/>
  <c r="BD18" i="4" s="1"/>
  <c r="CC16" i="3"/>
  <c r="BZ17" i="3"/>
  <c r="BC17" i="4"/>
  <c r="BA18" i="4" s="1"/>
  <c r="BV17" i="3"/>
  <c r="BY16" i="3"/>
  <c r="AQ16" i="3"/>
  <c r="AR16" i="3" s="1"/>
  <c r="AP17" i="3"/>
  <c r="AS16" i="3"/>
  <c r="AF16" i="4"/>
  <c r="AH16" i="4" s="1"/>
  <c r="AF17" i="4" s="1"/>
  <c r="C10" i="2"/>
  <c r="H9" i="18"/>
  <c r="C11" i="2"/>
  <c r="N16" i="4"/>
  <c r="O16" i="4"/>
  <c r="R9" i="3"/>
  <c r="R16" i="3" s="1"/>
  <c r="AG16" i="3"/>
  <c r="J17" i="3"/>
  <c r="K16" i="3"/>
  <c r="L16" i="3" s="1"/>
  <c r="AL17" i="3"/>
  <c r="AM16" i="3"/>
  <c r="AN16" i="3" s="1"/>
  <c r="AO16" i="3" s="1"/>
  <c r="AA17" i="4"/>
  <c r="AB17" i="4" s="1"/>
  <c r="Z18" i="4" s="1"/>
  <c r="X17" i="4"/>
  <c r="Y17" i="4" s="1"/>
  <c r="W18" i="4" s="1"/>
  <c r="AE17" i="4"/>
  <c r="AC18" i="4" s="1"/>
  <c r="AI16" i="3"/>
  <c r="AJ16" i="3" s="1"/>
  <c r="AK16" i="3" s="1"/>
  <c r="AH17" i="3"/>
  <c r="D16" i="4"/>
  <c r="B17" i="4" s="1"/>
  <c r="B9" i="3"/>
  <c r="B16" i="3" s="1"/>
  <c r="A212" i="8"/>
  <c r="A204" i="8"/>
  <c r="A244" i="8"/>
  <c r="A236" i="8"/>
  <c r="A268" i="8"/>
  <c r="A276" i="8"/>
  <c r="A300" i="8"/>
  <c r="A308" i="8"/>
  <c r="D237" i="9"/>
  <c r="C280" i="9"/>
  <c r="A8" i="18"/>
  <c r="B25" i="21"/>
  <c r="C14" i="21" s="1"/>
  <c r="AY16" i="4"/>
  <c r="AZ16" i="4" s="1"/>
  <c r="AX17" i="4" s="1"/>
  <c r="BN9" i="3"/>
  <c r="BN16" i="3" s="1"/>
  <c r="BO16" i="3" s="1"/>
  <c r="BP16" i="3" s="1"/>
  <c r="B231" i="9"/>
  <c r="U16" i="4"/>
  <c r="Z9" i="3"/>
  <c r="Z16" i="3" s="1"/>
  <c r="C37" i="20"/>
  <c r="B34" i="10"/>
  <c r="C12" i="10" s="1"/>
  <c r="F107" i="19" l="1"/>
  <c r="G107" i="19" s="1"/>
  <c r="D108" i="19"/>
  <c r="D109" i="19"/>
  <c r="J36" i="19"/>
  <c r="B127" i="9" s="1"/>
  <c r="B140" i="9" s="1"/>
  <c r="E140" i="9" s="1"/>
  <c r="G90" i="19"/>
  <c r="L52" i="19"/>
  <c r="H51" i="19"/>
  <c r="K10" i="24"/>
  <c r="H128" i="8"/>
  <c r="H129" i="8"/>
  <c r="B46" i="8"/>
  <c r="B45" i="8"/>
  <c r="B78" i="8"/>
  <c r="B77" i="8"/>
  <c r="B13" i="8"/>
  <c r="B14" i="8"/>
  <c r="B109" i="8"/>
  <c r="B110" i="8"/>
  <c r="K40" i="19"/>
  <c r="L40" i="19" s="1"/>
  <c r="G97" i="19"/>
  <c r="G102" i="19" s="1"/>
  <c r="B241" i="9" s="1"/>
  <c r="B34" i="15" s="1"/>
  <c r="E34" i="15" s="1"/>
  <c r="E50" i="19"/>
  <c r="L53" i="19"/>
  <c r="G93" i="19"/>
  <c r="B240" i="9" s="1"/>
  <c r="C240" i="9" s="1"/>
  <c r="L51" i="19"/>
  <c r="J27" i="19"/>
  <c r="B126" i="9" s="1"/>
  <c r="B152" i="9" s="1"/>
  <c r="E152" i="9" s="1"/>
  <c r="H52" i="19"/>
  <c r="L50" i="19"/>
  <c r="F52" i="19"/>
  <c r="E52" i="19"/>
  <c r="G82" i="19"/>
  <c r="B167" i="9"/>
  <c r="H50" i="19"/>
  <c r="F51" i="19"/>
  <c r="E51" i="19"/>
  <c r="J51" i="19" s="1"/>
  <c r="B115" i="8"/>
  <c r="D126" i="8" s="1"/>
  <c r="E128" i="9"/>
  <c r="B300" i="9" s="1"/>
  <c r="D300" i="9" s="1"/>
  <c r="B141" i="9"/>
  <c r="E141" i="9" s="1"/>
  <c r="F106" i="19"/>
  <c r="B154" i="9"/>
  <c r="B117" i="8" s="1"/>
  <c r="F108" i="19"/>
  <c r="G81" i="19"/>
  <c r="N110" i="19"/>
  <c r="O110" i="19" s="1"/>
  <c r="G75" i="19"/>
  <c r="B238" i="9" s="1"/>
  <c r="B7" i="15" s="1"/>
  <c r="N108" i="19"/>
  <c r="O108" i="19" s="1"/>
  <c r="O111" i="19" s="1"/>
  <c r="O81" i="19"/>
  <c r="O84" i="19" s="1"/>
  <c r="B118" i="8"/>
  <c r="E167" i="9"/>
  <c r="B119" i="8"/>
  <c r="E180" i="9"/>
  <c r="J50" i="19"/>
  <c r="E49" i="19"/>
  <c r="F49" i="19"/>
  <c r="J18" i="19"/>
  <c r="B125" i="9" s="1"/>
  <c r="K13" i="19"/>
  <c r="L13" i="19" s="1"/>
  <c r="A9" i="2"/>
  <c r="A8" i="14"/>
  <c r="A8" i="15"/>
  <c r="A17" i="15" s="1"/>
  <c r="A26" i="15" s="1"/>
  <c r="A35" i="15" s="1"/>
  <c r="A44" i="15" s="1"/>
  <c r="A53" i="15" s="1"/>
  <c r="A62" i="15" s="1"/>
  <c r="A71" i="15" s="1"/>
  <c r="A80" i="15" s="1"/>
  <c r="A89" i="15" s="1"/>
  <c r="A98" i="15" s="1"/>
  <c r="BG17" i="3"/>
  <c r="BH17" i="3" s="1"/>
  <c r="BI17" i="3" s="1"/>
  <c r="E98" i="8"/>
  <c r="D356" i="8"/>
  <c r="H97" i="8"/>
  <c r="H130" i="8"/>
  <c r="E357" i="8"/>
  <c r="C355" i="8"/>
  <c r="E65" i="8"/>
  <c r="H64" i="8"/>
  <c r="C64" i="8"/>
  <c r="C338" i="8"/>
  <c r="C17" i="15" s="1"/>
  <c r="D17" i="15" s="1"/>
  <c r="F63" i="8"/>
  <c r="F95" i="8"/>
  <c r="D338" i="8"/>
  <c r="C26" i="15" s="1"/>
  <c r="D26" i="15" s="1"/>
  <c r="C96" i="8"/>
  <c r="F127" i="8"/>
  <c r="C128" i="8"/>
  <c r="E338" i="8"/>
  <c r="C35" i="15" s="1"/>
  <c r="D35" i="15" s="1"/>
  <c r="H31" i="8"/>
  <c r="E32" i="8"/>
  <c r="B354" i="8"/>
  <c r="L354" i="8" s="1"/>
  <c r="M354" i="8" s="1"/>
  <c r="C32" i="8"/>
  <c r="F32" i="8" s="1"/>
  <c r="B338" i="8"/>
  <c r="C7" i="15"/>
  <c r="L337" i="8"/>
  <c r="N18" i="3"/>
  <c r="O18" i="3" s="1"/>
  <c r="P18" i="3" s="1"/>
  <c r="V17" i="3"/>
  <c r="W17" i="3" s="1"/>
  <c r="X17" i="3" s="1"/>
  <c r="M16" i="4"/>
  <c r="K17" i="4" s="1"/>
  <c r="L17" i="4" s="1"/>
  <c r="M17" i="4" s="1"/>
  <c r="K18" i="4" s="1"/>
  <c r="L18" i="4" s="1"/>
  <c r="M18" i="4" s="1"/>
  <c r="K19" i="4" s="1"/>
  <c r="C8" i="2"/>
  <c r="J6" i="18"/>
  <c r="E7" i="2"/>
  <c r="D7" i="14"/>
  <c r="C9" i="13"/>
  <c r="BL17" i="4"/>
  <c r="CH17" i="3" s="1"/>
  <c r="E8" i="13"/>
  <c r="F17" i="4"/>
  <c r="G17" i="4" s="1"/>
  <c r="E18" i="4" s="1"/>
  <c r="F18" i="4" s="1"/>
  <c r="G18" i="4" s="1"/>
  <c r="E19" i="4" s="1"/>
  <c r="AP17" i="4"/>
  <c r="AQ17" i="4" s="1"/>
  <c r="AO18" i="4" s="1"/>
  <c r="AP18" i="4" s="1"/>
  <c r="AQ18" i="4" s="1"/>
  <c r="AO19" i="4" s="1"/>
  <c r="AD18" i="3"/>
  <c r="C39" i="20"/>
  <c r="G16" i="3"/>
  <c r="H16" i="3" s="1"/>
  <c r="I16" i="3" s="1"/>
  <c r="F17" i="3"/>
  <c r="BB19" i="3"/>
  <c r="BC18" i="3"/>
  <c r="BE18" i="4"/>
  <c r="BF18" i="4"/>
  <c r="BD19" i="4" s="1"/>
  <c r="AS18" i="4"/>
  <c r="AT18" i="4" s="1"/>
  <c r="AR19" i="4" s="1"/>
  <c r="BH18" i="4"/>
  <c r="BI18" i="4" s="1"/>
  <c r="BG19" i="4" s="1"/>
  <c r="BW17" i="3"/>
  <c r="BX17" i="3" s="1"/>
  <c r="BY17" i="3" s="1"/>
  <c r="BV18" i="3"/>
  <c r="AM17" i="4"/>
  <c r="AN17" i="4" s="1"/>
  <c r="AL18" i="4" s="1"/>
  <c r="BB18" i="4"/>
  <c r="BC18" i="4" s="1"/>
  <c r="BA19" i="4" s="1"/>
  <c r="AY16" i="3"/>
  <c r="AZ16" i="3" s="1"/>
  <c r="AX17" i="3"/>
  <c r="BA16" i="3"/>
  <c r="AT18" i="3"/>
  <c r="AU17" i="3"/>
  <c r="AV17" i="3" s="1"/>
  <c r="BZ18" i="3"/>
  <c r="CA17" i="3"/>
  <c r="CB17" i="3" s="1"/>
  <c r="AJ18" i="4"/>
  <c r="AK18" i="4" s="1"/>
  <c r="AI19" i="4" s="1"/>
  <c r="BJ18" i="3"/>
  <c r="BK17" i="3"/>
  <c r="BL17" i="3" s="1"/>
  <c r="BF19" i="3"/>
  <c r="BG18" i="3"/>
  <c r="BH18" i="3" s="1"/>
  <c r="BR18" i="3"/>
  <c r="BS17" i="3"/>
  <c r="BT17" i="3" s="1"/>
  <c r="AV18" i="4"/>
  <c r="AW18" i="4" s="1"/>
  <c r="AU19" i="4" s="1"/>
  <c r="BD18" i="3"/>
  <c r="BE17" i="3"/>
  <c r="AG17" i="4"/>
  <c r="AH17" i="4" s="1"/>
  <c r="AF18" i="4" s="1"/>
  <c r="AP18" i="3"/>
  <c r="AQ17" i="3"/>
  <c r="AR17" i="3" s="1"/>
  <c r="I18" i="4"/>
  <c r="J18" i="4" s="1"/>
  <c r="H19" i="4" s="1"/>
  <c r="X18" i="4"/>
  <c r="Y18" i="4" s="1"/>
  <c r="W19" i="4" s="1"/>
  <c r="AI17" i="3"/>
  <c r="AJ17" i="3" s="1"/>
  <c r="AH18" i="3"/>
  <c r="AL18" i="3"/>
  <c r="AM17" i="3"/>
  <c r="AN17" i="3" s="1"/>
  <c r="M16" i="3"/>
  <c r="R19" i="4"/>
  <c r="S19" i="4" s="1"/>
  <c r="Q20" i="4" s="1"/>
  <c r="K17" i="3"/>
  <c r="L17" i="3" s="1"/>
  <c r="J18" i="3"/>
  <c r="R17" i="3"/>
  <c r="S16" i="3"/>
  <c r="T16" i="3" s="1"/>
  <c r="AA18" i="4"/>
  <c r="AB18" i="4"/>
  <c r="Z19" i="4" s="1"/>
  <c r="AG17" i="3"/>
  <c r="AD18" i="4"/>
  <c r="AE18" i="4" s="1"/>
  <c r="AC19" i="4" s="1"/>
  <c r="P16" i="4"/>
  <c r="N17" i="4" s="1"/>
  <c r="C17" i="4"/>
  <c r="D17" i="4" s="1"/>
  <c r="B18" i="4" s="1"/>
  <c r="B17" i="3"/>
  <c r="C16" i="3"/>
  <c r="D16" i="3" s="1"/>
  <c r="E16" i="3" s="1"/>
  <c r="A213" i="8"/>
  <c r="A205" i="8"/>
  <c r="A277" i="8"/>
  <c r="A269" i="8"/>
  <c r="A245" i="8"/>
  <c r="A237" i="8"/>
  <c r="A301" i="8"/>
  <c r="A309" i="8"/>
  <c r="G8" i="18"/>
  <c r="A9" i="18"/>
  <c r="D280" i="9"/>
  <c r="E237" i="9"/>
  <c r="BJ16" i="4"/>
  <c r="G7" i="14" s="1"/>
  <c r="L7" i="14" s="1"/>
  <c r="C25" i="21"/>
  <c r="C15" i="21"/>
  <c r="C7" i="21"/>
  <c r="C11" i="21"/>
  <c r="C18" i="21"/>
  <c r="C19" i="21"/>
  <c r="C22" i="21"/>
  <c r="C9" i="21"/>
  <c r="C21" i="21"/>
  <c r="C8" i="21"/>
  <c r="C24" i="21"/>
  <c r="C17" i="21"/>
  <c r="C10" i="21"/>
  <c r="C13" i="21"/>
  <c r="C23" i="21"/>
  <c r="C16" i="21"/>
  <c r="C5" i="21"/>
  <c r="C20" i="21"/>
  <c r="C12" i="21"/>
  <c r="C4" i="21"/>
  <c r="C6" i="21"/>
  <c r="CD16" i="3"/>
  <c r="BN17" i="3"/>
  <c r="Z17" i="3"/>
  <c r="AA16" i="3"/>
  <c r="C7" i="2"/>
  <c r="H6" i="18"/>
  <c r="V16" i="4"/>
  <c r="BQ16" i="3"/>
  <c r="AY17" i="4"/>
  <c r="C16" i="10"/>
  <c r="C25" i="10"/>
  <c r="C11" i="10"/>
  <c r="C22" i="10"/>
  <c r="C18" i="10"/>
  <c r="C17" i="10"/>
  <c r="C23" i="10"/>
  <c r="C28" i="10"/>
  <c r="C21" i="10"/>
  <c r="C29" i="10"/>
  <c r="C15" i="10"/>
  <c r="C14" i="10"/>
  <c r="C26" i="10"/>
  <c r="C32" i="10"/>
  <c r="C9" i="10"/>
  <c r="C27" i="10"/>
  <c r="C30" i="10"/>
  <c r="C13" i="10"/>
  <c r="C24" i="10"/>
  <c r="C10" i="10"/>
  <c r="B153" i="9" l="1"/>
  <c r="B53" i="8"/>
  <c r="B178" i="9"/>
  <c r="B55" i="8" s="1"/>
  <c r="B84" i="8"/>
  <c r="E127" i="9"/>
  <c r="B299" i="9" s="1"/>
  <c r="D299" i="9" s="1"/>
  <c r="B83" i="8"/>
  <c r="D94" i="8" s="1"/>
  <c r="D95" i="8" s="1"/>
  <c r="D346" i="8" s="1"/>
  <c r="B166" i="9"/>
  <c r="E166" i="9" s="1"/>
  <c r="B179" i="9"/>
  <c r="B87" i="8" s="1"/>
  <c r="C238" i="9"/>
  <c r="D238" i="9" s="1"/>
  <c r="L49" i="19"/>
  <c r="B139" i="9"/>
  <c r="B51" i="8"/>
  <c r="D62" i="8" s="1"/>
  <c r="G62" i="8" s="1"/>
  <c r="I62" i="8" s="1"/>
  <c r="C329" i="8" s="1"/>
  <c r="B165" i="9"/>
  <c r="E165" i="9" s="1"/>
  <c r="B25" i="15"/>
  <c r="E25" i="15" s="1"/>
  <c r="C241" i="9"/>
  <c r="D241" i="9" s="1"/>
  <c r="E154" i="9"/>
  <c r="C345" i="8"/>
  <c r="E126" i="9"/>
  <c r="B298" i="9" s="1"/>
  <c r="D298" i="9" s="1"/>
  <c r="E178" i="9"/>
  <c r="G84" i="19"/>
  <c r="B239" i="9" s="1"/>
  <c r="B16" i="15" s="1"/>
  <c r="E16" i="15" s="1"/>
  <c r="J52" i="19"/>
  <c r="G109" i="19"/>
  <c r="B116" i="8"/>
  <c r="D127" i="8" s="1"/>
  <c r="E346" i="8" s="1"/>
  <c r="B26" i="15"/>
  <c r="E26" i="15" s="1"/>
  <c r="D240" i="9"/>
  <c r="E345" i="8"/>
  <c r="G126" i="8"/>
  <c r="I126" i="8" s="1"/>
  <c r="E329" i="8" s="1"/>
  <c r="G108" i="19"/>
  <c r="G94" i="8"/>
  <c r="I94" i="8" s="1"/>
  <c r="D329" i="8" s="1"/>
  <c r="E153" i="9"/>
  <c r="B85" i="8"/>
  <c r="J49" i="19"/>
  <c r="G106" i="19"/>
  <c r="B8" i="15"/>
  <c r="B19" i="8"/>
  <c r="D30" i="8" s="1"/>
  <c r="B138" i="9"/>
  <c r="E125" i="9"/>
  <c r="B177" i="9"/>
  <c r="B164" i="9"/>
  <c r="B151" i="9"/>
  <c r="R6" i="18"/>
  <c r="S6" i="18" s="1"/>
  <c r="V18" i="3"/>
  <c r="V19" i="3" s="1"/>
  <c r="A9" i="14"/>
  <c r="A9" i="15"/>
  <c r="A18" i="15" s="1"/>
  <c r="A27" i="15" s="1"/>
  <c r="A36" i="15" s="1"/>
  <c r="A45" i="15" s="1"/>
  <c r="A54" i="15" s="1"/>
  <c r="A63" i="15" s="1"/>
  <c r="A72" i="15" s="1"/>
  <c r="A81" i="15" s="1"/>
  <c r="A90" i="15" s="1"/>
  <c r="A99" i="15" s="1"/>
  <c r="A10" i="2"/>
  <c r="H98" i="8"/>
  <c r="D357" i="8"/>
  <c r="F128" i="8"/>
  <c r="C129" i="8"/>
  <c r="E339" i="8"/>
  <c r="C36" i="15" s="1"/>
  <c r="D36" i="15" s="1"/>
  <c r="C65" i="8"/>
  <c r="F64" i="8"/>
  <c r="C339" i="8"/>
  <c r="C18" i="15" s="1"/>
  <c r="D18" i="15" s="1"/>
  <c r="H65" i="8"/>
  <c r="C356" i="8"/>
  <c r="E66" i="8"/>
  <c r="D339" i="8"/>
  <c r="C27" i="15" s="1"/>
  <c r="D27" i="15" s="1"/>
  <c r="C97" i="8"/>
  <c r="F96" i="8"/>
  <c r="B339" i="8"/>
  <c r="C33" i="8"/>
  <c r="F33" i="8" s="1"/>
  <c r="C97" i="15"/>
  <c r="D7" i="15"/>
  <c r="L338" i="8"/>
  <c r="C8" i="15"/>
  <c r="H32" i="8"/>
  <c r="E33" i="8"/>
  <c r="B355" i="8"/>
  <c r="L355" i="8" s="1"/>
  <c r="M355" i="8" s="1"/>
  <c r="N19" i="3"/>
  <c r="N20" i="3" s="1"/>
  <c r="J7" i="18"/>
  <c r="E8" i="2"/>
  <c r="D8" i="14"/>
  <c r="E9" i="13"/>
  <c r="C10" i="13"/>
  <c r="BL18" i="4"/>
  <c r="CH18" i="3" s="1"/>
  <c r="G17" i="3"/>
  <c r="H17" i="3" s="1"/>
  <c r="I17" i="3" s="1"/>
  <c r="F18" i="3"/>
  <c r="AD19" i="3"/>
  <c r="AE18" i="3"/>
  <c r="AF18" i="3" s="1"/>
  <c r="BB20" i="3"/>
  <c r="BC19" i="3"/>
  <c r="BD19" i="3" s="1"/>
  <c r="BM17" i="3"/>
  <c r="AW17" i="3"/>
  <c r="AV19" i="4"/>
  <c r="AW19" i="4" s="1"/>
  <c r="AU20" i="4" s="1"/>
  <c r="BU17" i="3"/>
  <c r="BH19" i="4"/>
  <c r="BI19" i="4" s="1"/>
  <c r="BG20" i="4" s="1"/>
  <c r="AS19" i="4"/>
  <c r="AT19" i="4" s="1"/>
  <c r="AR20" i="4" s="1"/>
  <c r="BI18" i="3"/>
  <c r="AP19" i="4"/>
  <c r="AQ19" i="4" s="1"/>
  <c r="AO20" i="4" s="1"/>
  <c r="BR19" i="3"/>
  <c r="BS18" i="3"/>
  <c r="BT18" i="3" s="1"/>
  <c r="BG19" i="3"/>
  <c r="BH19" i="3" s="1"/>
  <c r="BF20" i="3"/>
  <c r="BZ19" i="3"/>
  <c r="CA18" i="3"/>
  <c r="CB18" i="3" s="1"/>
  <c r="BE18" i="3"/>
  <c r="BJ19" i="3"/>
  <c r="BK18" i="3"/>
  <c r="BL18" i="3" s="1"/>
  <c r="AU18" i="3"/>
  <c r="AV18" i="3" s="1"/>
  <c r="AT19" i="3"/>
  <c r="AJ19" i="4"/>
  <c r="AK19" i="4"/>
  <c r="AI20" i="4" s="1"/>
  <c r="AM18" i="4"/>
  <c r="AN18" i="4" s="1"/>
  <c r="AL19" i="4" s="1"/>
  <c r="AY17" i="3"/>
  <c r="AZ17" i="3" s="1"/>
  <c r="BA17" i="3" s="1"/>
  <c r="AX18" i="3"/>
  <c r="BE19" i="4"/>
  <c r="BF19" i="4" s="1"/>
  <c r="BD20" i="4" s="1"/>
  <c r="BB19" i="4"/>
  <c r="BC19" i="4" s="1"/>
  <c r="BA20" i="4" s="1"/>
  <c r="CC17" i="3"/>
  <c r="BV19" i="3"/>
  <c r="BW18" i="3"/>
  <c r="BX18" i="3" s="1"/>
  <c r="AS17" i="3"/>
  <c r="AG18" i="4"/>
  <c r="AH18" i="4" s="1"/>
  <c r="AF19" i="4" s="1"/>
  <c r="AQ18" i="3"/>
  <c r="AR18" i="3" s="1"/>
  <c r="AP19" i="3"/>
  <c r="Y17" i="3"/>
  <c r="F19" i="4"/>
  <c r="G19" i="4" s="1"/>
  <c r="E20" i="4" s="1"/>
  <c r="R20" i="4"/>
  <c r="S20" i="4" s="1"/>
  <c r="Q21" i="4" s="1"/>
  <c r="X19" i="4"/>
  <c r="Y19" i="4" s="1"/>
  <c r="W20" i="4" s="1"/>
  <c r="M17" i="3"/>
  <c r="AK17" i="3"/>
  <c r="L19" i="4"/>
  <c r="M19" i="4" s="1"/>
  <c r="K20" i="4" s="1"/>
  <c r="I19" i="4"/>
  <c r="J19" i="4" s="1"/>
  <c r="H20" i="4" s="1"/>
  <c r="AA19" i="4"/>
  <c r="AB19" i="4" s="1"/>
  <c r="Z20" i="4" s="1"/>
  <c r="AG18" i="3"/>
  <c r="CD17" i="3"/>
  <c r="S17" i="3"/>
  <c r="T17" i="3" s="1"/>
  <c r="R18" i="3"/>
  <c r="J19" i="3"/>
  <c r="K18" i="3"/>
  <c r="L18" i="3" s="1"/>
  <c r="AD19" i="4"/>
  <c r="AE19" i="4" s="1"/>
  <c r="AC20" i="4" s="1"/>
  <c r="U16" i="3"/>
  <c r="AL19" i="3"/>
  <c r="AM18" i="3"/>
  <c r="AN18" i="3" s="1"/>
  <c r="AO17" i="3"/>
  <c r="O17" i="4"/>
  <c r="P17" i="4" s="1"/>
  <c r="N18" i="4" s="1"/>
  <c r="AI18" i="3"/>
  <c r="AJ18" i="3" s="1"/>
  <c r="AH19" i="3"/>
  <c r="Q18" i="3"/>
  <c r="C17" i="3"/>
  <c r="D17" i="3" s="1"/>
  <c r="B18" i="3"/>
  <c r="C18" i="4"/>
  <c r="D18" i="4" s="1"/>
  <c r="B19" i="4" s="1"/>
  <c r="A206" i="8"/>
  <c r="A215" i="8" s="1"/>
  <c r="A214" i="8"/>
  <c r="A310" i="8"/>
  <c r="A302" i="8"/>
  <c r="A311" i="8" s="1"/>
  <c r="A246" i="8"/>
  <c r="A238" i="8"/>
  <c r="A247" i="8" s="1"/>
  <c r="A278" i="8"/>
  <c r="A270" i="8"/>
  <c r="A279" i="8" s="1"/>
  <c r="E280" i="9"/>
  <c r="F237" i="9"/>
  <c r="F280" i="9" s="1"/>
  <c r="G9" i="18"/>
  <c r="A10" i="18"/>
  <c r="BN18" i="3"/>
  <c r="BN19" i="3" s="1"/>
  <c r="D25" i="21"/>
  <c r="BO17" i="3"/>
  <c r="BP17" i="3" s="1"/>
  <c r="T17" i="4"/>
  <c r="BK16" i="4"/>
  <c r="BM16" i="4" s="1"/>
  <c r="BO16" i="4" s="1"/>
  <c r="AB16" i="3"/>
  <c r="CE16" i="3"/>
  <c r="Z18" i="3"/>
  <c r="AA17" i="3"/>
  <c r="C34" i="10"/>
  <c r="AZ17" i="4"/>
  <c r="D345" i="8" l="1"/>
  <c r="E179" i="9"/>
  <c r="B86" i="8"/>
  <c r="C239" i="9"/>
  <c r="B17" i="15" s="1"/>
  <c r="E17" i="15" s="1"/>
  <c r="B54" i="8"/>
  <c r="B52" i="8"/>
  <c r="D63" i="8" s="1"/>
  <c r="D64" i="8" s="1"/>
  <c r="D65" i="8" s="1"/>
  <c r="E139" i="9"/>
  <c r="B35" i="15"/>
  <c r="E35" i="15" s="1"/>
  <c r="D96" i="8"/>
  <c r="G95" i="8"/>
  <c r="I95" i="8" s="1"/>
  <c r="D330" i="8" s="1"/>
  <c r="J54" i="19"/>
  <c r="G111" i="19"/>
  <c r="E240" i="9"/>
  <c r="B27" i="15"/>
  <c r="E27" i="15" s="1"/>
  <c r="D128" i="8"/>
  <c r="G128" i="8" s="1"/>
  <c r="I128" i="8" s="1"/>
  <c r="E331" i="8" s="1"/>
  <c r="B36" i="15"/>
  <c r="E36" i="15" s="1"/>
  <c r="E241" i="9"/>
  <c r="G127" i="8"/>
  <c r="I127" i="8" s="1"/>
  <c r="E330" i="8" s="1"/>
  <c r="G30" i="8"/>
  <c r="I30" i="8" s="1"/>
  <c r="B329" i="8" s="1"/>
  <c r="L329" i="8" s="1"/>
  <c r="B345" i="8"/>
  <c r="L345" i="8" s="1"/>
  <c r="M345" i="8" s="1"/>
  <c r="B297" i="9"/>
  <c r="D297" i="9" s="1"/>
  <c r="B9" i="15"/>
  <c r="E238" i="9"/>
  <c r="B20" i="8"/>
  <c r="D31" i="8" s="1"/>
  <c r="E138" i="9"/>
  <c r="B21" i="8"/>
  <c r="E151" i="9"/>
  <c r="E164" i="9"/>
  <c r="B22" i="8"/>
  <c r="E177" i="9"/>
  <c r="B23" i="8"/>
  <c r="T6" i="18"/>
  <c r="N7" i="14" s="1"/>
  <c r="M7" i="14"/>
  <c r="W18" i="3"/>
  <c r="X18" i="3" s="1"/>
  <c r="Y18" i="3" s="1"/>
  <c r="A10" i="14"/>
  <c r="A11" i="2"/>
  <c r="A10" i="15"/>
  <c r="A19" i="15" s="1"/>
  <c r="A28" i="15" s="1"/>
  <c r="A37" i="15" s="1"/>
  <c r="A46" i="15" s="1"/>
  <c r="A55" i="15" s="1"/>
  <c r="A64" i="15" s="1"/>
  <c r="A73" i="15" s="1"/>
  <c r="A82" i="15" s="1"/>
  <c r="A91" i="15" s="1"/>
  <c r="A100" i="15" s="1"/>
  <c r="O19" i="3"/>
  <c r="P19" i="3" s="1"/>
  <c r="Q19" i="3" s="1"/>
  <c r="F65" i="8"/>
  <c r="C340" i="8"/>
  <c r="C19" i="15" s="1"/>
  <c r="D19" i="15" s="1"/>
  <c r="C66" i="8"/>
  <c r="C98" i="8"/>
  <c r="D340" i="8"/>
  <c r="C28" i="15" s="1"/>
  <c r="D28" i="15" s="1"/>
  <c r="F97" i="8"/>
  <c r="C130" i="8"/>
  <c r="E340" i="8"/>
  <c r="C37" i="15" s="1"/>
  <c r="D37" i="15" s="1"/>
  <c r="F129" i="8"/>
  <c r="C357" i="8"/>
  <c r="H66" i="8"/>
  <c r="B340" i="8"/>
  <c r="C34" i="8"/>
  <c r="F34" i="8" s="1"/>
  <c r="E7" i="15"/>
  <c r="E97" i="15" s="1"/>
  <c r="D97" i="15"/>
  <c r="L339" i="8"/>
  <c r="C9" i="15"/>
  <c r="E34" i="8"/>
  <c r="B356" i="8"/>
  <c r="L356" i="8" s="1"/>
  <c r="M356" i="8" s="1"/>
  <c r="H33" i="8"/>
  <c r="C98" i="15"/>
  <c r="D8" i="15"/>
  <c r="C11" i="13"/>
  <c r="E10" i="13"/>
  <c r="BL19" i="4"/>
  <c r="CH19" i="3" s="1"/>
  <c r="E9" i="2"/>
  <c r="D9" i="14"/>
  <c r="J8" i="18"/>
  <c r="AE19" i="3"/>
  <c r="AF19" i="3" s="1"/>
  <c r="AD20" i="3"/>
  <c r="G18" i="3"/>
  <c r="H18" i="3" s="1"/>
  <c r="F19" i="3"/>
  <c r="BC20" i="3"/>
  <c r="BB21" i="3"/>
  <c r="AM19" i="4"/>
  <c r="AN19" i="4" s="1"/>
  <c r="AL20" i="4" s="1"/>
  <c r="AW18" i="3"/>
  <c r="BY18" i="3"/>
  <c r="CC18" i="3"/>
  <c r="BI19" i="3"/>
  <c r="BB20" i="4"/>
  <c r="BC20" i="4" s="1"/>
  <c r="BA21" i="4" s="1"/>
  <c r="BM18" i="3"/>
  <c r="BE20" i="4"/>
  <c r="BF20" i="4"/>
  <c r="BD21" i="4" s="1"/>
  <c r="BF21" i="3"/>
  <c r="BG20" i="3"/>
  <c r="BH20" i="3" s="1"/>
  <c r="AV20" i="4"/>
  <c r="AW20" i="4" s="1"/>
  <c r="AU21" i="4" s="1"/>
  <c r="AP20" i="4"/>
  <c r="AQ20" i="4" s="1"/>
  <c r="AO21" i="4" s="1"/>
  <c r="BO18" i="3"/>
  <c r="BV20" i="3"/>
  <c r="BW19" i="3"/>
  <c r="BX19" i="3" s="1"/>
  <c r="BJ20" i="3"/>
  <c r="BK19" i="3"/>
  <c r="BL19" i="3" s="1"/>
  <c r="AJ20" i="4"/>
  <c r="AK20" i="4" s="1"/>
  <c r="AI21" i="4" s="1"/>
  <c r="AX19" i="3"/>
  <c r="AY18" i="3"/>
  <c r="AZ18" i="3" s="1"/>
  <c r="AS20" i="4"/>
  <c r="AT20" i="4" s="1"/>
  <c r="AR21" i="4" s="1"/>
  <c r="BD20" i="3"/>
  <c r="BE19" i="3"/>
  <c r="BU18" i="3"/>
  <c r="BH20" i="4"/>
  <c r="BI20" i="4" s="1"/>
  <c r="BG21" i="4" s="1"/>
  <c r="AU19" i="3"/>
  <c r="AV19" i="3" s="1"/>
  <c r="AT20" i="3"/>
  <c r="BZ20" i="3"/>
  <c r="CA19" i="3"/>
  <c r="CB19" i="3" s="1"/>
  <c r="BR20" i="3"/>
  <c r="BS19" i="3"/>
  <c r="BT19" i="3" s="1"/>
  <c r="BU19" i="3" s="1"/>
  <c r="AS18" i="3"/>
  <c r="AG19" i="4"/>
  <c r="AH19" i="4" s="1"/>
  <c r="AF20" i="4" s="1"/>
  <c r="AQ19" i="3"/>
  <c r="AR19" i="3" s="1"/>
  <c r="AP20" i="3"/>
  <c r="V20" i="3"/>
  <c r="W19" i="3"/>
  <c r="L20" i="4"/>
  <c r="M20" i="4" s="1"/>
  <c r="K21" i="4" s="1"/>
  <c r="AO18" i="3"/>
  <c r="AK18" i="3"/>
  <c r="O18" i="4"/>
  <c r="P18" i="4" s="1"/>
  <c r="N19" i="4" s="1"/>
  <c r="U17" i="3"/>
  <c r="R21" i="4"/>
  <c r="S21" i="4" s="1"/>
  <c r="Q22" i="4" s="1"/>
  <c r="M18" i="3"/>
  <c r="F20" i="4"/>
  <c r="G20" i="4" s="1"/>
  <c r="E21" i="4" s="1"/>
  <c r="AI19" i="3"/>
  <c r="AJ19" i="3" s="1"/>
  <c r="AH20" i="3"/>
  <c r="AM19" i="3"/>
  <c r="AN19" i="3" s="1"/>
  <c r="AL20" i="3"/>
  <c r="O20" i="3"/>
  <c r="N21" i="3"/>
  <c r="AD20" i="4"/>
  <c r="AE20" i="4" s="1"/>
  <c r="AC21" i="4" s="1"/>
  <c r="S18" i="3"/>
  <c r="T18" i="3" s="1"/>
  <c r="R19" i="3"/>
  <c r="I20" i="4"/>
  <c r="J20" i="4" s="1"/>
  <c r="H21" i="4" s="1"/>
  <c r="X20" i="4"/>
  <c r="Y20" i="4" s="1"/>
  <c r="W21" i="4" s="1"/>
  <c r="AA20" i="4"/>
  <c r="AB20" i="4" s="1"/>
  <c r="Z21" i="4" s="1"/>
  <c r="J20" i="3"/>
  <c r="K19" i="3"/>
  <c r="L19" i="3" s="1"/>
  <c r="AG19" i="3"/>
  <c r="E17" i="3"/>
  <c r="C19" i="4"/>
  <c r="D19" i="4" s="1"/>
  <c r="B20" i="4" s="1"/>
  <c r="C18" i="3"/>
  <c r="D18" i="3" s="1"/>
  <c r="B19" i="3"/>
  <c r="G10" i="18"/>
  <c r="A11" i="18"/>
  <c r="CE17" i="3"/>
  <c r="AB17" i="3"/>
  <c r="CF17" i="3" s="1"/>
  <c r="AC16" i="3"/>
  <c r="CG16" i="3" s="1"/>
  <c r="CI16" i="3" s="1"/>
  <c r="CL16" i="3" s="1"/>
  <c r="CN16" i="3" s="1"/>
  <c r="F7" i="14" s="1"/>
  <c r="CF16" i="3"/>
  <c r="AA18" i="3"/>
  <c r="Z19" i="3"/>
  <c r="K6" i="18"/>
  <c r="E7" i="14"/>
  <c r="F7" i="2"/>
  <c r="CD18" i="3"/>
  <c r="U17" i="4"/>
  <c r="BJ17" i="4" s="1"/>
  <c r="G8" i="14" s="1"/>
  <c r="L8" i="14" s="1"/>
  <c r="R7" i="18" s="1"/>
  <c r="S7" i="18" s="1"/>
  <c r="BO19" i="3"/>
  <c r="BN20" i="3"/>
  <c r="AX18" i="4"/>
  <c r="BP18" i="3"/>
  <c r="BQ17" i="3"/>
  <c r="D239" i="9" l="1"/>
  <c r="E239" i="9" s="1"/>
  <c r="D97" i="8"/>
  <c r="C347" i="8"/>
  <c r="D347" i="8"/>
  <c r="G64" i="8"/>
  <c r="I64" i="8" s="1"/>
  <c r="C331" i="8" s="1"/>
  <c r="G63" i="8"/>
  <c r="I63" i="8" s="1"/>
  <c r="C330" i="8" s="1"/>
  <c r="C346" i="8"/>
  <c r="D32" i="8"/>
  <c r="G96" i="8"/>
  <c r="I96" i="8" s="1"/>
  <c r="D331" i="8" s="1"/>
  <c r="D129" i="8"/>
  <c r="G129" i="8" s="1"/>
  <c r="I129" i="8" s="1"/>
  <c r="E332" i="8" s="1"/>
  <c r="F241" i="9"/>
  <c r="B38" i="15" s="1"/>
  <c r="B37" i="15"/>
  <c r="E37" i="15" s="1"/>
  <c r="E347" i="8"/>
  <c r="F240" i="9"/>
  <c r="B29" i="15" s="1"/>
  <c r="B28" i="15"/>
  <c r="E28" i="15" s="1"/>
  <c r="G97" i="8"/>
  <c r="I97" i="8" s="1"/>
  <c r="D332" i="8" s="1"/>
  <c r="D98" i="8"/>
  <c r="D348" i="8"/>
  <c r="D66" i="8"/>
  <c r="G65" i="8"/>
  <c r="I65" i="8" s="1"/>
  <c r="C332" i="8" s="1"/>
  <c r="C348" i="8"/>
  <c r="F238" i="9"/>
  <c r="B11" i="15" s="1"/>
  <c r="B10" i="15"/>
  <c r="B307" i="9"/>
  <c r="D307" i="9"/>
  <c r="B346" i="8"/>
  <c r="G31" i="8"/>
  <c r="I31" i="8" s="1"/>
  <c r="B330" i="8" s="1"/>
  <c r="B7" i="14"/>
  <c r="B7" i="2"/>
  <c r="B6" i="18"/>
  <c r="D6" i="18" s="1"/>
  <c r="E6" i="18" s="1"/>
  <c r="X19" i="3"/>
  <c r="Y19" i="3" s="1"/>
  <c r="P20" i="3"/>
  <c r="Q20" i="3" s="1"/>
  <c r="A11" i="14"/>
  <c r="A11" i="15"/>
  <c r="A20" i="15" s="1"/>
  <c r="A29" i="15" s="1"/>
  <c r="A38" i="15" s="1"/>
  <c r="A47" i="15" s="1"/>
  <c r="A56" i="15" s="1"/>
  <c r="A65" i="15" s="1"/>
  <c r="A74" i="15" s="1"/>
  <c r="A83" i="15" s="1"/>
  <c r="A92" i="15" s="1"/>
  <c r="A101" i="15" s="1"/>
  <c r="A12" i="2"/>
  <c r="E341" i="8"/>
  <c r="C38" i="15" s="1"/>
  <c r="D38" i="15" s="1"/>
  <c r="F130" i="8"/>
  <c r="D341" i="8"/>
  <c r="C29" i="15" s="1"/>
  <c r="D29" i="15" s="1"/>
  <c r="F98" i="8"/>
  <c r="F66" i="8"/>
  <c r="C341" i="8"/>
  <c r="C20" i="15" s="1"/>
  <c r="D20" i="15" s="1"/>
  <c r="C99" i="15"/>
  <c r="D9" i="15"/>
  <c r="E8" i="15"/>
  <c r="E98" i="15" s="1"/>
  <c r="D98" i="15"/>
  <c r="D7" i="2"/>
  <c r="C7" i="14"/>
  <c r="I6" i="18"/>
  <c r="B341" i="8"/>
  <c r="B357" i="8"/>
  <c r="L357" i="8" s="1"/>
  <c r="M357" i="8" s="1"/>
  <c r="H34" i="8"/>
  <c r="L340" i="8"/>
  <c r="C10" i="15"/>
  <c r="E10" i="2"/>
  <c r="D10" i="14"/>
  <c r="J9" i="18"/>
  <c r="BL20" i="4"/>
  <c r="E11" i="13"/>
  <c r="I18" i="3"/>
  <c r="G19" i="3"/>
  <c r="H19" i="3" s="1"/>
  <c r="I19" i="3" s="1"/>
  <c r="F20" i="3"/>
  <c r="AD21" i="3"/>
  <c r="AE20" i="3"/>
  <c r="AF20" i="3" s="1"/>
  <c r="BB22" i="3"/>
  <c r="BC21" i="3"/>
  <c r="BD21" i="3" s="1"/>
  <c r="AV21" i="4"/>
  <c r="AW21" i="4" s="1"/>
  <c r="AU22" i="4" s="1"/>
  <c r="AM20" i="4"/>
  <c r="AN20" i="4" s="1"/>
  <c r="AL21" i="4" s="1"/>
  <c r="BI20" i="3"/>
  <c r="BM19" i="3"/>
  <c r="AW19" i="3"/>
  <c r="BA18" i="3"/>
  <c r="BY19" i="3"/>
  <c r="BE21" i="4"/>
  <c r="BF21" i="4" s="1"/>
  <c r="BD22" i="4" s="1"/>
  <c r="BS20" i="3"/>
  <c r="BR21" i="3"/>
  <c r="BK20" i="3"/>
  <c r="BL20" i="3" s="1"/>
  <c r="BJ21" i="3"/>
  <c r="CC19" i="3"/>
  <c r="AX20" i="3"/>
  <c r="AY19" i="3"/>
  <c r="AZ19" i="3" s="1"/>
  <c r="BT20" i="3"/>
  <c r="BH21" i="4"/>
  <c r="BI21" i="4" s="1"/>
  <c r="BG22" i="4" s="1"/>
  <c r="AJ21" i="4"/>
  <c r="AK21" i="4" s="1"/>
  <c r="AI22" i="4" s="1"/>
  <c r="BB21" i="4"/>
  <c r="BC21" i="4" s="1"/>
  <c r="BA22" i="4" s="1"/>
  <c r="CA20" i="3"/>
  <c r="CB20" i="3" s="1"/>
  <c r="BZ21" i="3"/>
  <c r="BE20" i="3"/>
  <c r="BV21" i="3"/>
  <c r="BW20" i="3"/>
  <c r="BX20" i="3" s="1"/>
  <c r="AS21" i="4"/>
  <c r="AT21" i="4" s="1"/>
  <c r="AR22" i="4" s="1"/>
  <c r="AU20" i="3"/>
  <c r="AV20" i="3" s="1"/>
  <c r="AT21" i="3"/>
  <c r="AP21" i="4"/>
  <c r="AQ21" i="4" s="1"/>
  <c r="AO22" i="4" s="1"/>
  <c r="BF22" i="3"/>
  <c r="BG21" i="3"/>
  <c r="BH21" i="3" s="1"/>
  <c r="AS19" i="3"/>
  <c r="AG20" i="4"/>
  <c r="AH20" i="4" s="1"/>
  <c r="AF21" i="4" s="1"/>
  <c r="AP21" i="3"/>
  <c r="AQ20" i="3"/>
  <c r="AR20" i="3" s="1"/>
  <c r="W20" i="3"/>
  <c r="V21" i="3"/>
  <c r="AO19" i="3"/>
  <c r="M19" i="3"/>
  <c r="U18" i="3"/>
  <c r="O19" i="4"/>
  <c r="P19" i="4" s="1"/>
  <c r="N20" i="4" s="1"/>
  <c r="X21" i="4"/>
  <c r="Y21" i="4" s="1"/>
  <c r="W22" i="4" s="1"/>
  <c r="AA21" i="4"/>
  <c r="AB21" i="4" s="1"/>
  <c r="Z22" i="4" s="1"/>
  <c r="AK19" i="3"/>
  <c r="F21" i="4"/>
  <c r="G21" i="4" s="1"/>
  <c r="E22" i="4" s="1"/>
  <c r="I21" i="4"/>
  <c r="J21" i="4" s="1"/>
  <c r="H22" i="4" s="1"/>
  <c r="L21" i="4"/>
  <c r="M21" i="4" s="1"/>
  <c r="K22" i="4" s="1"/>
  <c r="AD21" i="4"/>
  <c r="AE21" i="4"/>
  <c r="AC22" i="4" s="1"/>
  <c r="AG20" i="3"/>
  <c r="K20" i="3"/>
  <c r="L20" i="3" s="1"/>
  <c r="J21" i="3"/>
  <c r="N22" i="3"/>
  <c r="O21" i="3"/>
  <c r="R22" i="4"/>
  <c r="S22" i="4" s="1"/>
  <c r="Q23" i="4" s="1"/>
  <c r="AI20" i="3"/>
  <c r="AJ20" i="3" s="1"/>
  <c r="AH21" i="3"/>
  <c r="AL21" i="3"/>
  <c r="AM20" i="3"/>
  <c r="AN20" i="3" s="1"/>
  <c r="S19" i="3"/>
  <c r="T19" i="3" s="1"/>
  <c r="R20" i="3"/>
  <c r="E18" i="3"/>
  <c r="C20" i="4"/>
  <c r="D20" i="4" s="1"/>
  <c r="B21" i="4" s="1"/>
  <c r="CE18" i="3"/>
  <c r="B20" i="3"/>
  <c r="C19" i="3"/>
  <c r="D19" i="3" s="1"/>
  <c r="CD19" i="3"/>
  <c r="G11" i="18"/>
  <c r="A12" i="18"/>
  <c r="AA19" i="3"/>
  <c r="Z20" i="3"/>
  <c r="V17" i="4"/>
  <c r="AB18" i="3"/>
  <c r="AC17" i="3"/>
  <c r="CG17" i="3" s="1"/>
  <c r="CI17" i="3" s="1"/>
  <c r="CL17" i="3" s="1"/>
  <c r="CN17" i="3" s="1"/>
  <c r="F8" i="14" s="1"/>
  <c r="BP19" i="3"/>
  <c r="BQ18" i="3"/>
  <c r="AY18" i="4"/>
  <c r="T7" i="18"/>
  <c r="N8" i="14" s="1"/>
  <c r="M8" i="14"/>
  <c r="BN21" i="3"/>
  <c r="BO20" i="3"/>
  <c r="L330" i="8" l="1"/>
  <c r="B18" i="15"/>
  <c r="E18" i="15" s="1"/>
  <c r="L346" i="8"/>
  <c r="M346" i="8" s="1"/>
  <c r="P21" i="3"/>
  <c r="X20" i="3"/>
  <c r="Y20" i="3" s="1"/>
  <c r="E38" i="15"/>
  <c r="E348" i="8"/>
  <c r="D130" i="8"/>
  <c r="G130" i="8" s="1"/>
  <c r="I130" i="8" s="1"/>
  <c r="E333" i="8" s="1"/>
  <c r="E29" i="15"/>
  <c r="B19" i="15"/>
  <c r="E19" i="15" s="1"/>
  <c r="F239" i="9"/>
  <c r="B20" i="15" s="1"/>
  <c r="E20" i="15" s="1"/>
  <c r="G98" i="8"/>
  <c r="I98" i="8" s="1"/>
  <c r="D333" i="8" s="1"/>
  <c r="D349" i="8"/>
  <c r="G66" i="8"/>
  <c r="I66" i="8" s="1"/>
  <c r="C333" i="8" s="1"/>
  <c r="C349" i="8"/>
  <c r="B8" i="14"/>
  <c r="B7" i="18"/>
  <c r="D7" i="18" s="1"/>
  <c r="E7" i="18" s="1"/>
  <c r="B8" i="2"/>
  <c r="D33" i="8"/>
  <c r="B347" i="8"/>
  <c r="L347" i="8" s="1"/>
  <c r="M347" i="8" s="1"/>
  <c r="G32" i="8"/>
  <c r="I32" i="8" s="1"/>
  <c r="B331" i="8" s="1"/>
  <c r="L331" i="8" s="1"/>
  <c r="H7" i="14"/>
  <c r="J7" i="14" s="1"/>
  <c r="G7" i="2" s="1"/>
  <c r="E297" i="9"/>
  <c r="E299" i="9"/>
  <c r="E307" i="9"/>
  <c r="E303" i="9"/>
  <c r="E298" i="9"/>
  <c r="E302" i="9"/>
  <c r="E301" i="9"/>
  <c r="E305" i="9"/>
  <c r="E304" i="9"/>
  <c r="E300" i="9"/>
  <c r="E306" i="9"/>
  <c r="A12" i="14"/>
  <c r="A13" i="2"/>
  <c r="D10" i="15"/>
  <c r="C100" i="15"/>
  <c r="L341" i="8"/>
  <c r="C11" i="15"/>
  <c r="C8" i="14"/>
  <c r="D8" i="2"/>
  <c r="I7" i="18"/>
  <c r="D99" i="15"/>
  <c r="E9" i="15"/>
  <c r="J10" i="18"/>
  <c r="J11" i="18" s="1"/>
  <c r="J12" i="18" s="1"/>
  <c r="J13" i="18" s="1"/>
  <c r="J14" i="18" s="1"/>
  <c r="J15" i="18" s="1"/>
  <c r="J16" i="18" s="1"/>
  <c r="J17" i="18" s="1"/>
  <c r="J18" i="18" s="1"/>
  <c r="J19" i="18" s="1"/>
  <c r="J20" i="18" s="1"/>
  <c r="J21" i="18" s="1"/>
  <c r="J22" i="18" s="1"/>
  <c r="J23" i="18" s="1"/>
  <c r="J24" i="18" s="1"/>
  <c r="J25" i="18" s="1"/>
  <c r="J26" i="18" s="1"/>
  <c r="J27" i="18" s="1"/>
  <c r="J28" i="18" s="1"/>
  <c r="J29" i="18" s="1"/>
  <c r="J30" i="18" s="1"/>
  <c r="D11" i="14"/>
  <c r="D12" i="14" s="1"/>
  <c r="D13" i="14" s="1"/>
  <c r="D14" i="14" s="1"/>
  <c r="D15" i="14" s="1"/>
  <c r="D16" i="14" s="1"/>
  <c r="D17" i="14" s="1"/>
  <c r="D18" i="14" s="1"/>
  <c r="D19" i="14" s="1"/>
  <c r="D20" i="14" s="1"/>
  <c r="D21" i="14" s="1"/>
  <c r="D22" i="14" s="1"/>
  <c r="D23" i="14" s="1"/>
  <c r="D24" i="14" s="1"/>
  <c r="D25" i="14" s="1"/>
  <c r="D26" i="14" s="1"/>
  <c r="D27" i="14" s="1"/>
  <c r="D28" i="14" s="1"/>
  <c r="D29" i="14" s="1"/>
  <c r="D30" i="14" s="1"/>
  <c r="D31" i="14" s="1"/>
  <c r="E11" i="2"/>
  <c r="E12" i="2" s="1"/>
  <c r="E13" i="2" s="1"/>
  <c r="E14" i="2" s="1"/>
  <c r="E15" i="2" s="1"/>
  <c r="E16" i="2" s="1"/>
  <c r="E17" i="2" s="1"/>
  <c r="E18" i="2" s="1"/>
  <c r="E19" i="2" s="1"/>
  <c r="E20" i="2" s="1"/>
  <c r="E21" i="2" s="1"/>
  <c r="E22" i="2" s="1"/>
  <c r="E23" i="2" s="1"/>
  <c r="E24" i="2" s="1"/>
  <c r="E25" i="2" s="1"/>
  <c r="E26" i="2" s="1"/>
  <c r="E27" i="2" s="1"/>
  <c r="E28" i="2" s="1"/>
  <c r="E29" i="2" s="1"/>
  <c r="E30" i="2" s="1"/>
  <c r="E31" i="2" s="1"/>
  <c r="BL21" i="4"/>
  <c r="CH20" i="3"/>
  <c r="F21" i="3"/>
  <c r="G20" i="3"/>
  <c r="H20" i="3" s="1"/>
  <c r="I20" i="3" s="1"/>
  <c r="AD22" i="3"/>
  <c r="AE21" i="3"/>
  <c r="AF21" i="3" s="1"/>
  <c r="BB23" i="3"/>
  <c r="BC22" i="3"/>
  <c r="AW20" i="3"/>
  <c r="BB22" i="4"/>
  <c r="BC22" i="4" s="1"/>
  <c r="BA23" i="4" s="1"/>
  <c r="BA19" i="3"/>
  <c r="BI21" i="3"/>
  <c r="BY20" i="3"/>
  <c r="CC20" i="3"/>
  <c r="BH22" i="4"/>
  <c r="BI22" i="4" s="1"/>
  <c r="BG23" i="4" s="1"/>
  <c r="AM21" i="4"/>
  <c r="AN21" i="4" s="1"/>
  <c r="AL22" i="4" s="1"/>
  <c r="BE22" i="4"/>
  <c r="BF22" i="4" s="1"/>
  <c r="BD23" i="4" s="1"/>
  <c r="AV22" i="4"/>
  <c r="AW22" i="4"/>
  <c r="AU23" i="4" s="1"/>
  <c r="BK21" i="3"/>
  <c r="BL21" i="3" s="1"/>
  <c r="BJ22" i="3"/>
  <c r="AS22" i="4"/>
  <c r="AT22" i="4" s="1"/>
  <c r="AR23" i="4" s="1"/>
  <c r="BG22" i="3"/>
  <c r="BH22" i="3" s="1"/>
  <c r="BF23" i="3"/>
  <c r="BM20" i="3"/>
  <c r="CA21" i="3"/>
  <c r="CB21" i="3" s="1"/>
  <c r="BZ22" i="3"/>
  <c r="AP22" i="4"/>
  <c r="AQ22" i="4" s="1"/>
  <c r="AO23" i="4" s="1"/>
  <c r="BV22" i="3"/>
  <c r="BW21" i="3"/>
  <c r="BX21" i="3" s="1"/>
  <c r="BU20" i="3"/>
  <c r="AJ22" i="4"/>
  <c r="AK22" i="4" s="1"/>
  <c r="AI23" i="4" s="1"/>
  <c r="BR22" i="3"/>
  <c r="BS21" i="3"/>
  <c r="BT21" i="3" s="1"/>
  <c r="AT22" i="3"/>
  <c r="AU21" i="3"/>
  <c r="AV21" i="3" s="1"/>
  <c r="BD22" i="3"/>
  <c r="BE21" i="3"/>
  <c r="AY20" i="3"/>
  <c r="AZ20" i="3" s="1"/>
  <c r="AX21" i="3"/>
  <c r="AS20" i="3"/>
  <c r="AP22" i="3"/>
  <c r="AQ21" i="3"/>
  <c r="AR21" i="3" s="1"/>
  <c r="AG21" i="4"/>
  <c r="AH21" i="4" s="1"/>
  <c r="AF22" i="4" s="1"/>
  <c r="V22" i="3"/>
  <c r="W21" i="3"/>
  <c r="CD20" i="3"/>
  <c r="AK20" i="3"/>
  <c r="I22" i="4"/>
  <c r="J22" i="4" s="1"/>
  <c r="H23" i="4" s="1"/>
  <c r="AA22" i="4"/>
  <c r="AB22" i="4" s="1"/>
  <c r="Z23" i="4" s="1"/>
  <c r="U19" i="3"/>
  <c r="Q21" i="3"/>
  <c r="M20" i="3"/>
  <c r="AO20" i="3"/>
  <c r="R23" i="4"/>
  <c r="S23" i="4" s="1"/>
  <c r="Q24" i="4" s="1"/>
  <c r="J22" i="3"/>
  <c r="K21" i="3"/>
  <c r="L21" i="3" s="1"/>
  <c r="N23" i="3"/>
  <c r="O22" i="3"/>
  <c r="P22" i="3" s="1"/>
  <c r="S20" i="3"/>
  <c r="T20" i="3" s="1"/>
  <c r="R21" i="3"/>
  <c r="AI21" i="3"/>
  <c r="AJ21" i="3" s="1"/>
  <c r="AH22" i="3"/>
  <c r="O20" i="4"/>
  <c r="P20" i="4" s="1"/>
  <c r="N21" i="4" s="1"/>
  <c r="L22" i="4"/>
  <c r="M22" i="4" s="1"/>
  <c r="K23" i="4" s="1"/>
  <c r="AD22" i="4"/>
  <c r="AE22" i="4"/>
  <c r="AC23" i="4" s="1"/>
  <c r="F22" i="4"/>
  <c r="G22" i="4" s="1"/>
  <c r="E23" i="4" s="1"/>
  <c r="X22" i="4"/>
  <c r="Y22" i="4"/>
  <c r="W23" i="4" s="1"/>
  <c r="AL22" i="3"/>
  <c r="AM21" i="3"/>
  <c r="AN21" i="3" s="1"/>
  <c r="E19" i="3"/>
  <c r="C21" i="4"/>
  <c r="D21" i="4" s="1"/>
  <c r="B22" i="4" s="1"/>
  <c r="CE19" i="3"/>
  <c r="B21" i="3"/>
  <c r="C20" i="3"/>
  <c r="D20" i="3" s="1"/>
  <c r="G12" i="18"/>
  <c r="A13" i="18"/>
  <c r="AB19" i="3"/>
  <c r="CF19" i="3" s="1"/>
  <c r="AC18" i="3"/>
  <c r="CG18" i="3" s="1"/>
  <c r="CI18" i="3" s="1"/>
  <c r="CL18" i="3" s="1"/>
  <c r="CN18" i="3" s="1"/>
  <c r="F9" i="14" s="1"/>
  <c r="T18" i="4"/>
  <c r="BK17" i="4"/>
  <c r="BM17" i="4" s="1"/>
  <c r="BO17" i="4" s="1"/>
  <c r="CF18" i="3"/>
  <c r="AA20" i="3"/>
  <c r="Z21" i="3"/>
  <c r="AZ18" i="4"/>
  <c r="BN22" i="3"/>
  <c r="BO21" i="3"/>
  <c r="BP20" i="3"/>
  <c r="BQ19" i="3"/>
  <c r="E99" i="15" l="1"/>
  <c r="I8" i="18" s="1"/>
  <c r="E349" i="8"/>
  <c r="X21" i="3"/>
  <c r="Y21" i="3" s="1"/>
  <c r="B9" i="2"/>
  <c r="B9" i="14"/>
  <c r="B8" i="18"/>
  <c r="D8" i="18" s="1"/>
  <c r="E8" i="18" s="1"/>
  <c r="L6" i="18"/>
  <c r="M6" i="18" s="1"/>
  <c r="O6" i="18" s="1"/>
  <c r="P6" i="18" s="1"/>
  <c r="D34" i="8"/>
  <c r="G33" i="8"/>
  <c r="I33" i="8" s="1"/>
  <c r="B332" i="8" s="1"/>
  <c r="L332" i="8" s="1"/>
  <c r="B348" i="8"/>
  <c r="L348" i="8" s="1"/>
  <c r="M348" i="8" s="1"/>
  <c r="H7" i="2"/>
  <c r="J7" i="2" s="1"/>
  <c r="L7" i="2" s="1"/>
  <c r="A13" i="14"/>
  <c r="A14" i="2"/>
  <c r="D11" i="15"/>
  <c r="C101" i="15"/>
  <c r="D100" i="15"/>
  <c r="E10" i="15"/>
  <c r="E100" i="15" s="1"/>
  <c r="CH21" i="3"/>
  <c r="BL22" i="4"/>
  <c r="AG21" i="3"/>
  <c r="F22" i="3"/>
  <c r="G21" i="3"/>
  <c r="H21" i="3" s="1"/>
  <c r="I21" i="3" s="1"/>
  <c r="AE22" i="3"/>
  <c r="AF22" i="3" s="1"/>
  <c r="AD23" i="3"/>
  <c r="BB24" i="3"/>
  <c r="BC23" i="3"/>
  <c r="BD23" i="3" s="1"/>
  <c r="BY21" i="3"/>
  <c r="AJ23" i="4"/>
  <c r="AK23" i="4" s="1"/>
  <c r="AI24" i="4" s="1"/>
  <c r="AW21" i="3"/>
  <c r="AP23" i="4"/>
  <c r="AQ23" i="4"/>
  <c r="AO24" i="4" s="1"/>
  <c r="BU21" i="3"/>
  <c r="CC21" i="3"/>
  <c r="BA20" i="3"/>
  <c r="BM21" i="3"/>
  <c r="BJ23" i="3"/>
  <c r="BK22" i="3"/>
  <c r="BL22" i="3" s="1"/>
  <c r="BS22" i="3"/>
  <c r="BT22" i="3" s="1"/>
  <c r="BU22" i="3" s="1"/>
  <c r="BR23" i="3"/>
  <c r="BH23" i="4"/>
  <c r="BI23" i="4" s="1"/>
  <c r="BG24" i="4" s="1"/>
  <c r="AX22" i="3"/>
  <c r="AY21" i="3"/>
  <c r="AZ21" i="3" s="1"/>
  <c r="BI22" i="3"/>
  <c r="BE22" i="3"/>
  <c r="BZ23" i="3"/>
  <c r="CA22" i="3"/>
  <c r="CB22" i="3" s="1"/>
  <c r="BG23" i="3"/>
  <c r="BH23" i="3" s="1"/>
  <c r="BF24" i="3"/>
  <c r="AV23" i="4"/>
  <c r="AW23" i="4"/>
  <c r="AU24" i="4" s="1"/>
  <c r="BB23" i="4"/>
  <c r="BC23" i="4" s="1"/>
  <c r="BA24" i="4" s="1"/>
  <c r="AM22" i="4"/>
  <c r="AN22" i="4" s="1"/>
  <c r="AL23" i="4" s="1"/>
  <c r="AS23" i="4"/>
  <c r="AT23" i="4" s="1"/>
  <c r="AR24" i="4" s="1"/>
  <c r="BE23" i="4"/>
  <c r="BF23" i="4" s="1"/>
  <c r="BD24" i="4" s="1"/>
  <c r="AU22" i="3"/>
  <c r="AV22" i="3" s="1"/>
  <c r="AT23" i="3"/>
  <c r="BV23" i="3"/>
  <c r="BW22" i="3"/>
  <c r="BX22" i="3" s="1"/>
  <c r="AS21" i="3"/>
  <c r="AG22" i="4"/>
  <c r="AH22" i="4" s="1"/>
  <c r="AF23" i="4" s="1"/>
  <c r="AQ22" i="3"/>
  <c r="AR22" i="3" s="1"/>
  <c r="AS22" i="3" s="1"/>
  <c r="AP23" i="3"/>
  <c r="W22" i="3"/>
  <c r="V23" i="3"/>
  <c r="Q22" i="3"/>
  <c r="M21" i="3"/>
  <c r="AO21" i="3"/>
  <c r="AK21" i="3"/>
  <c r="U20" i="3"/>
  <c r="AD23" i="4"/>
  <c r="AE23" i="4" s="1"/>
  <c r="AC24" i="4" s="1"/>
  <c r="AI22" i="3"/>
  <c r="AJ22" i="3" s="1"/>
  <c r="AH23" i="3"/>
  <c r="O23" i="3"/>
  <c r="P23" i="3" s="1"/>
  <c r="N24" i="3"/>
  <c r="AA23" i="4"/>
  <c r="AB23" i="4" s="1"/>
  <c r="Z24" i="4" s="1"/>
  <c r="AL23" i="3"/>
  <c r="AM22" i="3"/>
  <c r="AN22" i="3" s="1"/>
  <c r="L23" i="4"/>
  <c r="M23" i="4" s="1"/>
  <c r="K24" i="4" s="1"/>
  <c r="S21" i="3"/>
  <c r="T21" i="3" s="1"/>
  <c r="R22" i="3"/>
  <c r="J23" i="3"/>
  <c r="K22" i="3"/>
  <c r="L22" i="3" s="1"/>
  <c r="I23" i="4"/>
  <c r="J23" i="4" s="1"/>
  <c r="H24" i="4" s="1"/>
  <c r="F23" i="4"/>
  <c r="G23" i="4" s="1"/>
  <c r="E24" i="4" s="1"/>
  <c r="X23" i="4"/>
  <c r="Y23" i="4"/>
  <c r="W24" i="4" s="1"/>
  <c r="R24" i="4"/>
  <c r="S24" i="4" s="1"/>
  <c r="Q25" i="4" s="1"/>
  <c r="O21" i="4"/>
  <c r="P21" i="4" s="1"/>
  <c r="N22" i="4" s="1"/>
  <c r="E20" i="3"/>
  <c r="C21" i="3"/>
  <c r="D21" i="3" s="1"/>
  <c r="B22" i="3"/>
  <c r="C22" i="4"/>
  <c r="D22" i="4" s="1"/>
  <c r="B23" i="4" s="1"/>
  <c r="CD21" i="3"/>
  <c r="CE20" i="3"/>
  <c r="G13" i="18"/>
  <c r="A14" i="18"/>
  <c r="F8" i="2"/>
  <c r="K7" i="18"/>
  <c r="E8" i="14"/>
  <c r="H8" i="14" s="1"/>
  <c r="J8" i="14" s="1"/>
  <c r="G8" i="2" s="1"/>
  <c r="U18" i="4"/>
  <c r="BJ18" i="4" s="1"/>
  <c r="G9" i="14" s="1"/>
  <c r="L9" i="14" s="1"/>
  <c r="R8" i="18" s="1"/>
  <c r="S8" i="18" s="1"/>
  <c r="AA21" i="3"/>
  <c r="Z22" i="3"/>
  <c r="AB20" i="3"/>
  <c r="CF20" i="3" s="1"/>
  <c r="AC19" i="3"/>
  <c r="CG19" i="3" s="1"/>
  <c r="CI19" i="3" s="1"/>
  <c r="CL19" i="3" s="1"/>
  <c r="CN19" i="3" s="1"/>
  <c r="F10" i="14" s="1"/>
  <c r="BO22" i="3"/>
  <c r="BN23" i="3"/>
  <c r="AX19" i="4"/>
  <c r="BP21" i="3"/>
  <c r="BQ20" i="3"/>
  <c r="D9" i="2" l="1"/>
  <c r="C9" i="14"/>
  <c r="X22" i="3"/>
  <c r="B10" i="2"/>
  <c r="B10" i="14"/>
  <c r="B9" i="18"/>
  <c r="D9" i="18" s="1"/>
  <c r="E9" i="18" s="1"/>
  <c r="G34" i="8"/>
  <c r="I34" i="8" s="1"/>
  <c r="B333" i="8" s="1"/>
  <c r="L333" i="8" s="1"/>
  <c r="B349" i="8"/>
  <c r="L349" i="8" s="1"/>
  <c r="M349" i="8" s="1"/>
  <c r="A14" i="14"/>
  <c r="A15" i="2"/>
  <c r="D10" i="2"/>
  <c r="C10" i="14"/>
  <c r="I9" i="18"/>
  <c r="D101" i="15"/>
  <c r="E11" i="15"/>
  <c r="E101" i="15" s="1"/>
  <c r="BL23" i="4"/>
  <c r="CH22" i="3"/>
  <c r="AG22" i="3"/>
  <c r="AF23" i="3"/>
  <c r="AD24" i="3"/>
  <c r="AE23" i="3"/>
  <c r="F23" i="3"/>
  <c r="G22" i="3"/>
  <c r="H22" i="3" s="1"/>
  <c r="I22" i="3" s="1"/>
  <c r="BC24" i="3"/>
  <c r="BD24" i="3" s="1"/>
  <c r="BB25" i="3"/>
  <c r="BE24" i="4"/>
  <c r="BF24" i="4" s="1"/>
  <c r="BD25" i="4" s="1"/>
  <c r="BA21" i="3"/>
  <c r="AJ24" i="4"/>
  <c r="AK24" i="4" s="1"/>
  <c r="AI25" i="4" s="1"/>
  <c r="CC22" i="3"/>
  <c r="AW22" i="3"/>
  <c r="BY22" i="3"/>
  <c r="BI23" i="3"/>
  <c r="BW23" i="3"/>
  <c r="BX23" i="3" s="1"/>
  <c r="BV24" i="3"/>
  <c r="BE23" i="3"/>
  <c r="BH24" i="4"/>
  <c r="BI24" i="4" s="1"/>
  <c r="BG25" i="4" s="1"/>
  <c r="BF25" i="3"/>
  <c r="BG24" i="3"/>
  <c r="BH24" i="3" s="1"/>
  <c r="BR24" i="3"/>
  <c r="BS23" i="3"/>
  <c r="AS24" i="4"/>
  <c r="AT24" i="4" s="1"/>
  <c r="AR25" i="4" s="1"/>
  <c r="AP24" i="4"/>
  <c r="AQ24" i="4" s="1"/>
  <c r="AO25" i="4" s="1"/>
  <c r="AV24" i="4"/>
  <c r="AW24" i="4" s="1"/>
  <c r="AU25" i="4" s="1"/>
  <c r="AU23" i="3"/>
  <c r="AV23" i="3" s="1"/>
  <c r="AT24" i="3"/>
  <c r="BM22" i="3"/>
  <c r="AM23" i="4"/>
  <c r="AN23" i="4" s="1"/>
  <c r="AL24" i="4" s="1"/>
  <c r="BB24" i="4"/>
  <c r="BC24" i="4" s="1"/>
  <c r="BA25" i="4" s="1"/>
  <c r="BZ24" i="3"/>
  <c r="CA23" i="3"/>
  <c r="CB23" i="3" s="1"/>
  <c r="AX23" i="3"/>
  <c r="AY22" i="3"/>
  <c r="AZ22" i="3" s="1"/>
  <c r="BK23" i="3"/>
  <c r="BL23" i="3" s="1"/>
  <c r="BJ24" i="3"/>
  <c r="BT23" i="3"/>
  <c r="BU23" i="3" s="1"/>
  <c r="AG23" i="4"/>
  <c r="AH23" i="4" s="1"/>
  <c r="AF24" i="4" s="1"/>
  <c r="AQ23" i="3"/>
  <c r="AR23" i="3" s="1"/>
  <c r="AP24" i="3"/>
  <c r="Y22" i="3"/>
  <c r="W23" i="3"/>
  <c r="V24" i="3"/>
  <c r="U21" i="3"/>
  <c r="AK22" i="3"/>
  <c r="AD24" i="4"/>
  <c r="AE24" i="4"/>
  <c r="AC25" i="4" s="1"/>
  <c r="Q23" i="3"/>
  <c r="AO22" i="3"/>
  <c r="R25" i="4"/>
  <c r="S25" i="4" s="1"/>
  <c r="Q26" i="4" s="1"/>
  <c r="M22" i="3"/>
  <c r="L24" i="4"/>
  <c r="M24" i="4" s="1"/>
  <c r="K25" i="4" s="1"/>
  <c r="I24" i="4"/>
  <c r="J24" i="4" s="1"/>
  <c r="H25" i="4" s="1"/>
  <c r="AA24" i="4"/>
  <c r="AB24" i="4" s="1"/>
  <c r="Z25" i="4" s="1"/>
  <c r="AH24" i="3"/>
  <c r="AI23" i="3"/>
  <c r="AJ23" i="3" s="1"/>
  <c r="F24" i="4"/>
  <c r="G24" i="4" s="1"/>
  <c r="E25" i="4" s="1"/>
  <c r="R23" i="3"/>
  <c r="S22" i="3"/>
  <c r="T22" i="3" s="1"/>
  <c r="AM23" i="3"/>
  <c r="AN23" i="3" s="1"/>
  <c r="AL24" i="3"/>
  <c r="X24" i="4"/>
  <c r="Y24" i="4" s="1"/>
  <c r="W25" i="4" s="1"/>
  <c r="K23" i="3"/>
  <c r="L23" i="3" s="1"/>
  <c r="J24" i="3"/>
  <c r="O22" i="4"/>
  <c r="P22" i="4" s="1"/>
  <c r="N23" i="4" s="1"/>
  <c r="N25" i="3"/>
  <c r="O24" i="3"/>
  <c r="P24" i="3" s="1"/>
  <c r="CD22" i="3"/>
  <c r="E21" i="3"/>
  <c r="C23" i="4"/>
  <c r="D23" i="4" s="1"/>
  <c r="B24" i="4" s="1"/>
  <c r="C22" i="3"/>
  <c r="D22" i="3" s="1"/>
  <c r="B23" i="3"/>
  <c r="CE21" i="3"/>
  <c r="G14" i="18"/>
  <c r="A15" i="18"/>
  <c r="H8" i="2"/>
  <c r="J8" i="2" s="1"/>
  <c r="L8" i="2" s="1"/>
  <c r="AA22" i="3"/>
  <c r="Z23" i="3"/>
  <c r="V18" i="4"/>
  <c r="L7" i="18"/>
  <c r="M7" i="18" s="1"/>
  <c r="O7" i="18" s="1"/>
  <c r="P7" i="18" s="1"/>
  <c r="AB21" i="3"/>
  <c r="AC20" i="3"/>
  <c r="CG20" i="3" s="1"/>
  <c r="CI20" i="3" s="1"/>
  <c r="CL20" i="3" s="1"/>
  <c r="CN20" i="3" s="1"/>
  <c r="F11" i="14" s="1"/>
  <c r="BO23" i="3"/>
  <c r="BN24" i="3"/>
  <c r="BP22" i="3"/>
  <c r="BQ21" i="3"/>
  <c r="AY19" i="4"/>
  <c r="T8" i="18"/>
  <c r="N9" i="14" s="1"/>
  <c r="M9" i="14"/>
  <c r="X23" i="3" l="1"/>
  <c r="Y23" i="3" s="1"/>
  <c r="B10" i="18"/>
  <c r="B11" i="2"/>
  <c r="B12" i="2" s="1"/>
  <c r="B13" i="2" s="1"/>
  <c r="B14" i="2" s="1"/>
  <c r="B15" i="2" s="1"/>
  <c r="B16" i="2" s="1"/>
  <c r="B17" i="2" s="1"/>
  <c r="B18" i="2" s="1"/>
  <c r="B19" i="2" s="1"/>
  <c r="B20" i="2" s="1"/>
  <c r="B21" i="2" s="1"/>
  <c r="B22" i="2" s="1"/>
  <c r="B23" i="2" s="1"/>
  <c r="B24" i="2" s="1"/>
  <c r="B25" i="2" s="1"/>
  <c r="B26" i="2" s="1"/>
  <c r="B27" i="2" s="1"/>
  <c r="B28" i="2" s="1"/>
  <c r="B29" i="2" s="1"/>
  <c r="B30" i="2" s="1"/>
  <c r="B31" i="2" s="1"/>
  <c r="B11" i="14"/>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A15" i="14"/>
  <c r="A16" i="2"/>
  <c r="C11" i="14"/>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D11" i="2"/>
  <c r="D12" i="2" s="1"/>
  <c r="D13" i="2" s="1"/>
  <c r="D14" i="2" s="1"/>
  <c r="D15" i="2" s="1"/>
  <c r="D16" i="2" s="1"/>
  <c r="D17" i="2" s="1"/>
  <c r="D18" i="2" s="1"/>
  <c r="D19" i="2" s="1"/>
  <c r="D20" i="2" s="1"/>
  <c r="D21" i="2" s="1"/>
  <c r="D22" i="2" s="1"/>
  <c r="D23" i="2" s="1"/>
  <c r="D24" i="2" s="1"/>
  <c r="D25" i="2" s="1"/>
  <c r="D26" i="2" s="1"/>
  <c r="D27" i="2" s="1"/>
  <c r="D28" i="2" s="1"/>
  <c r="D29" i="2" s="1"/>
  <c r="D30" i="2" s="1"/>
  <c r="D31" i="2" s="1"/>
  <c r="I10" i="18"/>
  <c r="I11" i="18" s="1"/>
  <c r="I12" i="18" s="1"/>
  <c r="I13" i="18" s="1"/>
  <c r="I14" i="18" s="1"/>
  <c r="I15" i="18" s="1"/>
  <c r="I16" i="18" s="1"/>
  <c r="I17" i="18" s="1"/>
  <c r="I18" i="18" s="1"/>
  <c r="I19" i="18" s="1"/>
  <c r="I20" i="18" s="1"/>
  <c r="I21" i="18" s="1"/>
  <c r="I22" i="18" s="1"/>
  <c r="I23" i="18" s="1"/>
  <c r="I24" i="18" s="1"/>
  <c r="I25" i="18" s="1"/>
  <c r="I26" i="18" s="1"/>
  <c r="I27" i="18" s="1"/>
  <c r="I28" i="18" s="1"/>
  <c r="I29" i="18" s="1"/>
  <c r="I30" i="18" s="1"/>
  <c r="BL24" i="4"/>
  <c r="CH23" i="3"/>
  <c r="G23" i="3"/>
  <c r="H23" i="3" s="1"/>
  <c r="I23" i="3" s="1"/>
  <c r="F24" i="3"/>
  <c r="AG23" i="3"/>
  <c r="AD25" i="3"/>
  <c r="AE24" i="3"/>
  <c r="AF24" i="3" s="1"/>
  <c r="BC25" i="3"/>
  <c r="BD25" i="3" s="1"/>
  <c r="BB26" i="3"/>
  <c r="CC23" i="3"/>
  <c r="AV25" i="4"/>
  <c r="AW25" i="4" s="1"/>
  <c r="AU26" i="4" s="1"/>
  <c r="BH25" i="4"/>
  <c r="BI25" i="4" s="1"/>
  <c r="BG26" i="4" s="1"/>
  <c r="AS25" i="4"/>
  <c r="AT25" i="4" s="1"/>
  <c r="AR26" i="4" s="1"/>
  <c r="BA22" i="3"/>
  <c r="AM24" i="4"/>
  <c r="AN24" i="4" s="1"/>
  <c r="AL25" i="4" s="1"/>
  <c r="AW23" i="3"/>
  <c r="BB25" i="4"/>
  <c r="BC25" i="4" s="1"/>
  <c r="BA26" i="4" s="1"/>
  <c r="BM23" i="3"/>
  <c r="BI24" i="3"/>
  <c r="BY23" i="3"/>
  <c r="BE25" i="4"/>
  <c r="BF25" i="4" s="1"/>
  <c r="BD26" i="4" s="1"/>
  <c r="AJ25" i="4"/>
  <c r="AK25" i="4" s="1"/>
  <c r="AI26" i="4" s="1"/>
  <c r="CA24" i="3"/>
  <c r="CB24" i="3" s="1"/>
  <c r="BZ25" i="3"/>
  <c r="BK24" i="3"/>
  <c r="BL24" i="3" s="1"/>
  <c r="BJ25" i="3"/>
  <c r="BS24" i="3"/>
  <c r="BT24" i="3" s="1"/>
  <c r="BR25" i="3"/>
  <c r="AU24" i="3"/>
  <c r="AV24" i="3" s="1"/>
  <c r="AT25" i="3"/>
  <c r="AP25" i="4"/>
  <c r="AQ25" i="4" s="1"/>
  <c r="AO26" i="4" s="1"/>
  <c r="BG25" i="3"/>
  <c r="BH25" i="3" s="1"/>
  <c r="BF26" i="3"/>
  <c r="BE24" i="3"/>
  <c r="AY23" i="3"/>
  <c r="AZ23" i="3" s="1"/>
  <c r="AX24" i="3"/>
  <c r="BW24" i="3"/>
  <c r="BX24" i="3" s="1"/>
  <c r="BV25" i="3"/>
  <c r="AS23" i="3"/>
  <c r="AP25" i="3"/>
  <c r="AQ24" i="3"/>
  <c r="AR24" i="3" s="1"/>
  <c r="AG24" i="4"/>
  <c r="AH24" i="4" s="1"/>
  <c r="AF25" i="4" s="1"/>
  <c r="V25" i="3"/>
  <c r="W24" i="3"/>
  <c r="CE22" i="3"/>
  <c r="AA25" i="4"/>
  <c r="AB25" i="4" s="1"/>
  <c r="Z26" i="4" s="1"/>
  <c r="U22" i="3"/>
  <c r="R26" i="4"/>
  <c r="S26" i="4" s="1"/>
  <c r="Q27" i="4" s="1"/>
  <c r="AO23" i="3"/>
  <c r="Q24" i="3"/>
  <c r="F25" i="4"/>
  <c r="G25" i="4" s="1"/>
  <c r="E26" i="4" s="1"/>
  <c r="M23" i="3"/>
  <c r="AK23" i="3"/>
  <c r="O23" i="4"/>
  <c r="P23" i="4" s="1"/>
  <c r="N24" i="4" s="1"/>
  <c r="X25" i="4"/>
  <c r="Y25" i="4" s="1"/>
  <c r="W26" i="4" s="1"/>
  <c r="AI24" i="3"/>
  <c r="AJ24" i="3" s="1"/>
  <c r="AH25" i="3"/>
  <c r="AD25" i="4"/>
  <c r="AE25" i="4"/>
  <c r="AC26" i="4" s="1"/>
  <c r="R24" i="3"/>
  <c r="S23" i="3"/>
  <c r="T23" i="3" s="1"/>
  <c r="L25" i="4"/>
  <c r="M25" i="4" s="1"/>
  <c r="K26" i="4" s="1"/>
  <c r="AM24" i="3"/>
  <c r="AN24" i="3" s="1"/>
  <c r="AL25" i="3"/>
  <c r="I25" i="4"/>
  <c r="J25" i="4" s="1"/>
  <c r="H26" i="4" s="1"/>
  <c r="N26" i="3"/>
  <c r="O25" i="3"/>
  <c r="P25" i="3" s="1"/>
  <c r="J25" i="3"/>
  <c r="K24" i="3"/>
  <c r="L24" i="3" s="1"/>
  <c r="C24" i="4"/>
  <c r="D24" i="4" s="1"/>
  <c r="B25" i="4" s="1"/>
  <c r="C23" i="3"/>
  <c r="D23" i="3" s="1"/>
  <c r="B24" i="3"/>
  <c r="CD23" i="3"/>
  <c r="E22" i="3"/>
  <c r="A16" i="18"/>
  <c r="G15" i="18"/>
  <c r="T19" i="4"/>
  <c r="BK18" i="4"/>
  <c r="BM18" i="4" s="1"/>
  <c r="BO18" i="4" s="1"/>
  <c r="AA23" i="3"/>
  <c r="Z24" i="3"/>
  <c r="AB22" i="3"/>
  <c r="AC21" i="3"/>
  <c r="CG21" i="3" s="1"/>
  <c r="CI21" i="3" s="1"/>
  <c r="CL21" i="3" s="1"/>
  <c r="CN21" i="3" s="1"/>
  <c r="F12" i="14" s="1"/>
  <c r="CF21" i="3"/>
  <c r="BP23" i="3"/>
  <c r="BQ22" i="3"/>
  <c r="AZ19" i="4"/>
  <c r="BO24" i="3"/>
  <c r="BN25" i="3"/>
  <c r="X24" i="3" l="1"/>
  <c r="Y24" i="3" s="1"/>
  <c r="D10" i="18"/>
  <c r="E10" i="18" s="1"/>
  <c r="B11" i="18"/>
  <c r="A17" i="2"/>
  <c r="A16" i="14"/>
  <c r="BL25" i="4"/>
  <c r="CH24" i="3"/>
  <c r="AG24" i="3"/>
  <c r="AE25" i="3"/>
  <c r="AF25" i="3" s="1"/>
  <c r="AD26" i="3"/>
  <c r="G24" i="3"/>
  <c r="H24" i="3" s="1"/>
  <c r="I24" i="3" s="1"/>
  <c r="F25" i="3"/>
  <c r="BC26" i="3"/>
  <c r="BB27" i="3"/>
  <c r="AM25" i="4"/>
  <c r="AN25" i="4" s="1"/>
  <c r="AL26" i="4" s="1"/>
  <c r="BM24" i="3"/>
  <c r="BU24" i="3"/>
  <c r="AW24" i="3"/>
  <c r="BA23" i="3"/>
  <c r="CC24" i="3"/>
  <c r="AV26" i="4"/>
  <c r="AW26" i="4" s="1"/>
  <c r="AU27" i="4" s="1"/>
  <c r="BI25" i="3"/>
  <c r="BY24" i="3"/>
  <c r="AJ26" i="4"/>
  <c r="AK26" i="4" s="1"/>
  <c r="AI27" i="4" s="1"/>
  <c r="AS26" i="4"/>
  <c r="AT26" i="4" s="1"/>
  <c r="AR27" i="4" s="1"/>
  <c r="BJ26" i="3"/>
  <c r="BK25" i="3"/>
  <c r="BL25" i="3" s="1"/>
  <c r="BF27" i="3"/>
  <c r="BG26" i="3"/>
  <c r="BH26" i="3" s="1"/>
  <c r="BI26" i="3" s="1"/>
  <c r="BH26" i="4"/>
  <c r="BI26" i="4"/>
  <c r="BG27" i="4" s="1"/>
  <c r="BB26" i="4"/>
  <c r="BC26" i="4" s="1"/>
  <c r="BA27" i="4" s="1"/>
  <c r="BV26" i="3"/>
  <c r="BW25" i="3"/>
  <c r="BX25" i="3" s="1"/>
  <c r="BZ26" i="3"/>
  <c r="CA25" i="3"/>
  <c r="CB25" i="3" s="1"/>
  <c r="BD26" i="3"/>
  <c r="BE25" i="3"/>
  <c r="AT26" i="3"/>
  <c r="AU25" i="3"/>
  <c r="AV25" i="3" s="1"/>
  <c r="AP26" i="4"/>
  <c r="AQ26" i="4" s="1"/>
  <c r="AO27" i="4" s="1"/>
  <c r="BE26" i="4"/>
  <c r="BF26" i="4" s="1"/>
  <c r="BD27" i="4" s="1"/>
  <c r="AY24" i="3"/>
  <c r="AZ24" i="3" s="1"/>
  <c r="AX25" i="3"/>
  <c r="BS25" i="3"/>
  <c r="BT25" i="3" s="1"/>
  <c r="BR26" i="3"/>
  <c r="AG25" i="4"/>
  <c r="AH25" i="4" s="1"/>
  <c r="AF26" i="4" s="1"/>
  <c r="AS24" i="3"/>
  <c r="AP26" i="3"/>
  <c r="AQ25" i="3"/>
  <c r="AR25" i="3" s="1"/>
  <c r="V26" i="3"/>
  <c r="W25" i="3"/>
  <c r="I26" i="4"/>
  <c r="J26" i="4" s="1"/>
  <c r="H27" i="4" s="1"/>
  <c r="U23" i="3"/>
  <c r="AO24" i="3"/>
  <c r="L26" i="4"/>
  <c r="M26" i="4" s="1"/>
  <c r="K27" i="4" s="1"/>
  <c r="F26" i="4"/>
  <c r="G26" i="4" s="1"/>
  <c r="E27" i="4" s="1"/>
  <c r="M24" i="3"/>
  <c r="O24" i="4"/>
  <c r="P24" i="4" s="1"/>
  <c r="N25" i="4" s="1"/>
  <c r="AK24" i="3"/>
  <c r="Q25" i="3"/>
  <c r="AA26" i="4"/>
  <c r="AB26" i="4" s="1"/>
  <c r="Z27" i="4" s="1"/>
  <c r="J26" i="3"/>
  <c r="K25" i="3"/>
  <c r="L25" i="3" s="1"/>
  <c r="X26" i="4"/>
  <c r="Y26" i="4" s="1"/>
  <c r="W27" i="4" s="1"/>
  <c r="R27" i="4"/>
  <c r="S27" i="4" s="1"/>
  <c r="Q28" i="4" s="1"/>
  <c r="AL26" i="3"/>
  <c r="AM25" i="3"/>
  <c r="AN25" i="3" s="1"/>
  <c r="AD26" i="4"/>
  <c r="AE26" i="4"/>
  <c r="AC27" i="4" s="1"/>
  <c r="AI25" i="3"/>
  <c r="AJ25" i="3" s="1"/>
  <c r="AH26" i="3"/>
  <c r="N27" i="3"/>
  <c r="O26" i="3"/>
  <c r="P26" i="3" s="1"/>
  <c r="R25" i="3"/>
  <c r="S24" i="3"/>
  <c r="T24" i="3" s="1"/>
  <c r="E23" i="3"/>
  <c r="C25" i="4"/>
  <c r="D25" i="4" s="1"/>
  <c r="B26" i="4" s="1"/>
  <c r="B25" i="3"/>
  <c r="C24" i="3"/>
  <c r="D24" i="3" s="1"/>
  <c r="CE23" i="3"/>
  <c r="CD24" i="3"/>
  <c r="G16" i="18"/>
  <c r="A17" i="18"/>
  <c r="AB23" i="3"/>
  <c r="CF23" i="3" s="1"/>
  <c r="AC22" i="3"/>
  <c r="CG22" i="3" s="1"/>
  <c r="CI22" i="3" s="1"/>
  <c r="CL22" i="3" s="1"/>
  <c r="CN22" i="3" s="1"/>
  <c r="F13" i="14" s="1"/>
  <c r="CF22" i="3"/>
  <c r="Z25" i="3"/>
  <c r="AA24" i="3"/>
  <c r="F9" i="2"/>
  <c r="E9" i="14"/>
  <c r="H9" i="14" s="1"/>
  <c r="J9" i="14" s="1"/>
  <c r="L8" i="18" s="1"/>
  <c r="K8" i="18"/>
  <c r="U19" i="4"/>
  <c r="BJ19" i="4" s="1"/>
  <c r="G10" i="14" s="1"/>
  <c r="L10" i="14" s="1"/>
  <c r="R9" i="18" s="1"/>
  <c r="S9" i="18" s="1"/>
  <c r="BN26" i="3"/>
  <c r="BO25" i="3"/>
  <c r="AX20" i="4"/>
  <c r="BP24" i="3"/>
  <c r="BQ23" i="3"/>
  <c r="X25" i="3" l="1"/>
  <c r="Y25" i="3" s="1"/>
  <c r="D11" i="18"/>
  <c r="E11" i="18" s="1"/>
  <c r="B12" i="18"/>
  <c r="A17" i="14"/>
  <c r="A18" i="2"/>
  <c r="CH25" i="3"/>
  <c r="BL26" i="4"/>
  <c r="AG25" i="3"/>
  <c r="F26" i="3"/>
  <c r="G25" i="3"/>
  <c r="H25" i="3" s="1"/>
  <c r="I25" i="3" s="1"/>
  <c r="AD27" i="3"/>
  <c r="AE26" i="3"/>
  <c r="AF26" i="3" s="1"/>
  <c r="BC27" i="3"/>
  <c r="BD27" i="3" s="1"/>
  <c r="BB28" i="3"/>
  <c r="BM25" i="3"/>
  <c r="BU25" i="3"/>
  <c r="AJ27" i="4"/>
  <c r="AK27" i="4" s="1"/>
  <c r="AI28" i="4" s="1"/>
  <c r="BB27" i="4"/>
  <c r="BC27" i="4" s="1"/>
  <c r="BA28" i="4" s="1"/>
  <c r="BA24" i="3"/>
  <c r="BY25" i="3"/>
  <c r="CC25" i="3"/>
  <c r="BH27" i="4"/>
  <c r="BI27" i="4" s="1"/>
  <c r="BG28" i="4" s="1"/>
  <c r="AS27" i="4"/>
  <c r="AT27" i="4" s="1"/>
  <c r="AR28" i="4" s="1"/>
  <c r="AV27" i="4"/>
  <c r="AW27" i="4" s="1"/>
  <c r="AU28" i="4" s="1"/>
  <c r="BE26" i="3"/>
  <c r="BJ27" i="3"/>
  <c r="BK26" i="3"/>
  <c r="BL26" i="3" s="1"/>
  <c r="BS26" i="3"/>
  <c r="BT26" i="3" s="1"/>
  <c r="BR27" i="3"/>
  <c r="AP27" i="4"/>
  <c r="AQ27" i="4"/>
  <c r="AO28" i="4" s="1"/>
  <c r="CA26" i="3"/>
  <c r="CB26" i="3" s="1"/>
  <c r="BZ27" i="3"/>
  <c r="BE27" i="4"/>
  <c r="BF27" i="4"/>
  <c r="BD28" i="4" s="1"/>
  <c r="AW25" i="3"/>
  <c r="BV27" i="3"/>
  <c r="BW26" i="3"/>
  <c r="BX26" i="3" s="1"/>
  <c r="BG27" i="3"/>
  <c r="BH27" i="3" s="1"/>
  <c r="BI27" i="3" s="1"/>
  <c r="BF28" i="3"/>
  <c r="AM26" i="4"/>
  <c r="AN26" i="4" s="1"/>
  <c r="AL27" i="4" s="1"/>
  <c r="AY25" i="3"/>
  <c r="AZ25" i="3" s="1"/>
  <c r="AX26" i="3"/>
  <c r="AU26" i="3"/>
  <c r="AV26" i="3" s="1"/>
  <c r="AW26" i="3" s="1"/>
  <c r="AT27" i="3"/>
  <c r="AS25" i="3"/>
  <c r="AG26" i="4"/>
  <c r="AH26" i="4" s="1"/>
  <c r="AF27" i="4" s="1"/>
  <c r="AP27" i="3"/>
  <c r="AQ26" i="3"/>
  <c r="AR26" i="3" s="1"/>
  <c r="V27" i="3"/>
  <c r="W26" i="3"/>
  <c r="M8" i="18"/>
  <c r="O8" i="18" s="1"/>
  <c r="P8" i="18" s="1"/>
  <c r="M25" i="3"/>
  <c r="AO25" i="3"/>
  <c r="Q26" i="3"/>
  <c r="F27" i="4"/>
  <c r="G27" i="4" s="1"/>
  <c r="E28" i="4" s="1"/>
  <c r="U24" i="3"/>
  <c r="L27" i="4"/>
  <c r="M27" i="4" s="1"/>
  <c r="K28" i="4" s="1"/>
  <c r="X27" i="4"/>
  <c r="Y27" i="4" s="1"/>
  <c r="W28" i="4" s="1"/>
  <c r="AK25" i="3"/>
  <c r="I27" i="4"/>
  <c r="J27" i="4" s="1"/>
  <c r="H28" i="4" s="1"/>
  <c r="O25" i="4"/>
  <c r="P25" i="4" s="1"/>
  <c r="N26" i="4" s="1"/>
  <c r="J27" i="3"/>
  <c r="K26" i="3"/>
  <c r="L26" i="3" s="1"/>
  <c r="S25" i="3"/>
  <c r="T25" i="3" s="1"/>
  <c r="R26" i="3"/>
  <c r="O27" i="3"/>
  <c r="P27" i="3" s="1"/>
  <c r="N28" i="3"/>
  <c r="AA27" i="4"/>
  <c r="AB27" i="4" s="1"/>
  <c r="Z28" i="4" s="1"/>
  <c r="AI26" i="3"/>
  <c r="AJ26" i="3" s="1"/>
  <c r="AH27" i="3"/>
  <c r="AL27" i="3"/>
  <c r="AM26" i="3"/>
  <c r="AN26" i="3" s="1"/>
  <c r="R28" i="4"/>
  <c r="S28" i="4" s="1"/>
  <c r="Q29" i="4" s="1"/>
  <c r="AD27" i="4"/>
  <c r="AE27" i="4" s="1"/>
  <c r="AC28" i="4" s="1"/>
  <c r="C26" i="4"/>
  <c r="D26" i="4" s="1"/>
  <c r="B27" i="4" s="1"/>
  <c r="E24" i="3"/>
  <c r="C25" i="3"/>
  <c r="D25" i="3" s="1"/>
  <c r="B26" i="3"/>
  <c r="CE24" i="3"/>
  <c r="CD25" i="3"/>
  <c r="G17" i="18"/>
  <c r="A18" i="18"/>
  <c r="G9" i="2"/>
  <c r="H9" i="2" s="1"/>
  <c r="J9" i="2" s="1"/>
  <c r="L9" i="2" s="1"/>
  <c r="V19" i="4"/>
  <c r="AA25" i="3"/>
  <c r="Z26" i="3"/>
  <c r="AB24" i="3"/>
  <c r="AC23" i="3"/>
  <c r="CG23" i="3" s="1"/>
  <c r="CI23" i="3" s="1"/>
  <c r="CL23" i="3" s="1"/>
  <c r="CN23" i="3" s="1"/>
  <c r="F14" i="14" s="1"/>
  <c r="M10" i="14"/>
  <c r="T9" i="18"/>
  <c r="N10" i="14" s="1"/>
  <c r="AY20" i="4"/>
  <c r="BP25" i="3"/>
  <c r="BQ24" i="3"/>
  <c r="BN27" i="3"/>
  <c r="BO26" i="3"/>
  <c r="X26" i="3" l="1"/>
  <c r="Y26" i="3" s="1"/>
  <c r="D12" i="18"/>
  <c r="E12" i="18" s="1"/>
  <c r="B13" i="18"/>
  <c r="A18" i="14"/>
  <c r="A19" i="2"/>
  <c r="BL27" i="4"/>
  <c r="CH26" i="3"/>
  <c r="AG26" i="3"/>
  <c r="AF27" i="3"/>
  <c r="AE27" i="3"/>
  <c r="AD28" i="3"/>
  <c r="F27" i="3"/>
  <c r="G26" i="3"/>
  <c r="H26" i="3" s="1"/>
  <c r="I26" i="3" s="1"/>
  <c r="BC28" i="3"/>
  <c r="BB29" i="3"/>
  <c r="AV28" i="4"/>
  <c r="AW28" i="4" s="1"/>
  <c r="AU29" i="4" s="1"/>
  <c r="AS28" i="4"/>
  <c r="AT28" i="4" s="1"/>
  <c r="AR29" i="4" s="1"/>
  <c r="CC26" i="3"/>
  <c r="AJ28" i="4"/>
  <c r="AK28" i="4"/>
  <c r="AI29" i="4" s="1"/>
  <c r="BY26" i="3"/>
  <c r="BA25" i="3"/>
  <c r="BU26" i="3"/>
  <c r="AM27" i="4"/>
  <c r="AN27" i="4" s="1"/>
  <c r="AL28" i="4" s="1"/>
  <c r="BM26" i="3"/>
  <c r="BJ28" i="3"/>
  <c r="BK27" i="3"/>
  <c r="BL27" i="3" s="1"/>
  <c r="BM27" i="3" s="1"/>
  <c r="AU27" i="3"/>
  <c r="AV27" i="3" s="1"/>
  <c r="AT28" i="3"/>
  <c r="BG28" i="3"/>
  <c r="BH28" i="3" s="1"/>
  <c r="BF29" i="3"/>
  <c r="BD28" i="3"/>
  <c r="BE27" i="3"/>
  <c r="BH28" i="4"/>
  <c r="BI28" i="4" s="1"/>
  <c r="BG29" i="4" s="1"/>
  <c r="BE28" i="4"/>
  <c r="BF28" i="4" s="1"/>
  <c r="BD29" i="4" s="1"/>
  <c r="BR28" i="3"/>
  <c r="BS27" i="3"/>
  <c r="BT27" i="3" s="1"/>
  <c r="BB28" i="4"/>
  <c r="BC28" i="4" s="1"/>
  <c r="BA29" i="4" s="1"/>
  <c r="AY26" i="3"/>
  <c r="AZ26" i="3" s="1"/>
  <c r="AX27" i="3"/>
  <c r="BW27" i="3"/>
  <c r="BX27" i="3" s="1"/>
  <c r="BV28" i="3"/>
  <c r="AP28" i="4"/>
  <c r="AQ28" i="4" s="1"/>
  <c r="AO29" i="4" s="1"/>
  <c r="BZ28" i="3"/>
  <c r="CA27" i="3"/>
  <c r="CB27" i="3" s="1"/>
  <c r="AS26" i="3"/>
  <c r="AG27" i="4"/>
  <c r="AH27" i="4"/>
  <c r="AF28" i="4" s="1"/>
  <c r="AP28" i="3"/>
  <c r="AQ27" i="3"/>
  <c r="AR27" i="3" s="1"/>
  <c r="CE25" i="3"/>
  <c r="W27" i="3"/>
  <c r="X27" i="3" s="1"/>
  <c r="V28" i="3"/>
  <c r="L28" i="4"/>
  <c r="M28" i="4" s="1"/>
  <c r="K29" i="4" s="1"/>
  <c r="Q27" i="3"/>
  <c r="AO26" i="3"/>
  <c r="AK26" i="3"/>
  <c r="U25" i="3"/>
  <c r="M26" i="3"/>
  <c r="F28" i="4"/>
  <c r="G28" i="4" s="1"/>
  <c r="E29" i="4" s="1"/>
  <c r="AI27" i="3"/>
  <c r="AJ27" i="3" s="1"/>
  <c r="AH28" i="3"/>
  <c r="J28" i="3"/>
  <c r="K27" i="3"/>
  <c r="L27" i="3" s="1"/>
  <c r="O28" i="3"/>
  <c r="P28" i="3" s="1"/>
  <c r="N29" i="3"/>
  <c r="O26" i="4"/>
  <c r="P26" i="4" s="1"/>
  <c r="N27" i="4" s="1"/>
  <c r="X28" i="4"/>
  <c r="Y28" i="4" s="1"/>
  <c r="W29" i="4" s="1"/>
  <c r="AA28" i="4"/>
  <c r="AB28" i="4" s="1"/>
  <c r="Z29" i="4" s="1"/>
  <c r="R27" i="3"/>
  <c r="S26" i="3"/>
  <c r="T26" i="3" s="1"/>
  <c r="I28" i="4"/>
  <c r="J28" i="4" s="1"/>
  <c r="H29" i="4" s="1"/>
  <c r="R29" i="4"/>
  <c r="S29" i="4" s="1"/>
  <c r="Q30" i="4" s="1"/>
  <c r="AM27" i="3"/>
  <c r="AN27" i="3" s="1"/>
  <c r="AL28" i="3"/>
  <c r="AD28" i="4"/>
  <c r="AE28" i="4" s="1"/>
  <c r="AC29" i="4" s="1"/>
  <c r="E25" i="3"/>
  <c r="C27" i="4"/>
  <c r="D27" i="4" s="1"/>
  <c r="B28" i="4" s="1"/>
  <c r="B27" i="3"/>
  <c r="C26" i="3"/>
  <c r="D26" i="3" s="1"/>
  <c r="G18" i="18"/>
  <c r="A19" i="18"/>
  <c r="Z27" i="3"/>
  <c r="AA26" i="3"/>
  <c r="T20" i="4"/>
  <c r="BK19" i="4"/>
  <c r="BM19" i="4" s="1"/>
  <c r="BO19" i="4" s="1"/>
  <c r="AB25" i="3"/>
  <c r="CF25" i="3" s="1"/>
  <c r="AC24" i="3"/>
  <c r="CG24" i="3" s="1"/>
  <c r="CI24" i="3" s="1"/>
  <c r="CL24" i="3" s="1"/>
  <c r="CN24" i="3" s="1"/>
  <c r="F15" i="14" s="1"/>
  <c r="CD26" i="3"/>
  <c r="CF24" i="3"/>
  <c r="BP26" i="3"/>
  <c r="BQ25" i="3"/>
  <c r="BO27" i="3"/>
  <c r="BN28" i="3"/>
  <c r="AZ20" i="4"/>
  <c r="B14" i="18" l="1"/>
  <c r="D13" i="18"/>
  <c r="E13" i="18" s="1"/>
  <c r="A20" i="2"/>
  <c r="A19" i="14"/>
  <c r="CD27" i="3"/>
  <c r="CH27" i="3"/>
  <c r="BL28" i="4"/>
  <c r="AF28" i="3"/>
  <c r="AG27" i="3"/>
  <c r="F28" i="3"/>
  <c r="G27" i="3"/>
  <c r="H27" i="3" s="1"/>
  <c r="I27" i="3" s="1"/>
  <c r="AD29" i="3"/>
  <c r="AE28" i="3"/>
  <c r="BC29" i="3"/>
  <c r="BD29" i="3" s="1"/>
  <c r="BB30" i="3"/>
  <c r="BE29" i="4"/>
  <c r="BF29" i="4" s="1"/>
  <c r="BD30" i="4" s="1"/>
  <c r="BY27" i="3"/>
  <c r="AW27" i="3"/>
  <c r="AP29" i="4"/>
  <c r="AQ29" i="4" s="1"/>
  <c r="AO30" i="4" s="1"/>
  <c r="BA26" i="3"/>
  <c r="BH29" i="4"/>
  <c r="BI29" i="4"/>
  <c r="BG30" i="4" s="1"/>
  <c r="BB29" i="4"/>
  <c r="BC29" i="4" s="1"/>
  <c r="BA30" i="4" s="1"/>
  <c r="CC27" i="3"/>
  <c r="BU27" i="3"/>
  <c r="AS29" i="4"/>
  <c r="AT29" i="4" s="1"/>
  <c r="AR30" i="4" s="1"/>
  <c r="BI28" i="3"/>
  <c r="AV29" i="4"/>
  <c r="AW29" i="4" s="1"/>
  <c r="AU30" i="4" s="1"/>
  <c r="BV29" i="3"/>
  <c r="BW28" i="3"/>
  <c r="BX28" i="3" s="1"/>
  <c r="AT29" i="3"/>
  <c r="AU28" i="3"/>
  <c r="AV28" i="3" s="1"/>
  <c r="AJ29" i="4"/>
  <c r="AK29" i="4" s="1"/>
  <c r="AI30" i="4" s="1"/>
  <c r="BZ29" i="3"/>
  <c r="CA28" i="3"/>
  <c r="CB28" i="3" s="1"/>
  <c r="AY27" i="3"/>
  <c r="AZ27" i="3" s="1"/>
  <c r="AX28" i="3"/>
  <c r="BR29" i="3"/>
  <c r="BS28" i="3"/>
  <c r="BT28" i="3" s="1"/>
  <c r="BJ29" i="3"/>
  <c r="BK28" i="3"/>
  <c r="BL28" i="3" s="1"/>
  <c r="BM28" i="3" s="1"/>
  <c r="AM28" i="4"/>
  <c r="AN28" i="4" s="1"/>
  <c r="AL29" i="4" s="1"/>
  <c r="BE28" i="3"/>
  <c r="BF30" i="3"/>
  <c r="BG29" i="3"/>
  <c r="BH29" i="3" s="1"/>
  <c r="AS27" i="3"/>
  <c r="AP29" i="3"/>
  <c r="AQ28" i="3"/>
  <c r="AR28" i="3" s="1"/>
  <c r="AG28" i="4"/>
  <c r="AH28" i="4"/>
  <c r="AF29" i="4" s="1"/>
  <c r="Y27" i="3"/>
  <c r="W28" i="3"/>
  <c r="X28" i="3" s="1"/>
  <c r="V29" i="3"/>
  <c r="AA29" i="4"/>
  <c r="AB29" i="4" s="1"/>
  <c r="Z30" i="4" s="1"/>
  <c r="AK27" i="3"/>
  <c r="R30" i="4"/>
  <c r="S30" i="4" s="1"/>
  <c r="Q31" i="4" s="1"/>
  <c r="X29" i="4"/>
  <c r="Y29" i="4" s="1"/>
  <c r="W30" i="4" s="1"/>
  <c r="U26" i="3"/>
  <c r="O27" i="4"/>
  <c r="P27" i="4" s="1"/>
  <c r="N28" i="4" s="1"/>
  <c r="AO27" i="3"/>
  <c r="AD29" i="4"/>
  <c r="AE29" i="4"/>
  <c r="AC30" i="4" s="1"/>
  <c r="M27" i="3"/>
  <c r="AL29" i="3"/>
  <c r="AM28" i="3"/>
  <c r="AN28" i="3" s="1"/>
  <c r="F29" i="4"/>
  <c r="G29" i="4" s="1"/>
  <c r="E30" i="4" s="1"/>
  <c r="I29" i="4"/>
  <c r="J29" i="4" s="1"/>
  <c r="H30" i="4" s="1"/>
  <c r="J29" i="3"/>
  <c r="K28" i="3"/>
  <c r="L28" i="3" s="1"/>
  <c r="AH29" i="3"/>
  <c r="AI28" i="3"/>
  <c r="AJ28" i="3" s="1"/>
  <c r="N30" i="3"/>
  <c r="O29" i="3"/>
  <c r="P29" i="3" s="1"/>
  <c r="R28" i="3"/>
  <c r="S27" i="3"/>
  <c r="T27" i="3" s="1"/>
  <c r="Q28" i="3"/>
  <c r="L29" i="4"/>
  <c r="M29" i="4" s="1"/>
  <c r="K30" i="4" s="1"/>
  <c r="E26" i="3"/>
  <c r="C28" i="4"/>
  <c r="D28" i="4" s="1"/>
  <c r="B29" i="4" s="1"/>
  <c r="CE26" i="3"/>
  <c r="B28" i="3"/>
  <c r="C27" i="3"/>
  <c r="D27" i="3" s="1"/>
  <c r="G19" i="18"/>
  <c r="A20" i="18"/>
  <c r="AB26" i="3"/>
  <c r="AC25" i="3"/>
  <c r="CG25" i="3" s="1"/>
  <c r="CI25" i="3" s="1"/>
  <c r="CL25" i="3" s="1"/>
  <c r="CN25" i="3" s="1"/>
  <c r="F16" i="14" s="1"/>
  <c r="F10" i="2"/>
  <c r="E10" i="14"/>
  <c r="H10" i="14" s="1"/>
  <c r="J10" i="14" s="1"/>
  <c r="G10" i="2" s="1"/>
  <c r="K9" i="18"/>
  <c r="U20" i="4"/>
  <c r="BJ20" i="4" s="1"/>
  <c r="G11" i="14" s="1"/>
  <c r="L11" i="14" s="1"/>
  <c r="R10" i="18" s="1"/>
  <c r="S10" i="18" s="1"/>
  <c r="Z28" i="3"/>
  <c r="AA27" i="3"/>
  <c r="BP27" i="3"/>
  <c r="CF26" i="3"/>
  <c r="BQ26" i="3"/>
  <c r="AX21" i="4"/>
  <c r="BN29" i="3"/>
  <c r="BO28" i="3"/>
  <c r="D14" i="18" l="1"/>
  <c r="E14" i="18" s="1"/>
  <c r="B15" i="18"/>
  <c r="A21" i="2"/>
  <c r="A20" i="14"/>
  <c r="H10" i="2"/>
  <c r="J10" i="2" s="1"/>
  <c r="L10" i="2" s="1"/>
  <c r="BL29" i="4"/>
  <c r="CH28" i="3"/>
  <c r="AF29" i="3"/>
  <c r="AG28" i="3"/>
  <c r="AD30" i="3"/>
  <c r="AE29" i="3"/>
  <c r="G28" i="3"/>
  <c r="H28" i="3" s="1"/>
  <c r="I28" i="3" s="1"/>
  <c r="F29" i="3"/>
  <c r="BB31" i="3"/>
  <c r="BC30" i="3"/>
  <c r="BD30" i="3" s="1"/>
  <c r="BU28" i="3"/>
  <c r="AW28" i="3"/>
  <c r="BY28" i="3"/>
  <c r="AM29" i="4"/>
  <c r="AN29" i="4" s="1"/>
  <c r="AL30" i="4" s="1"/>
  <c r="BI29" i="3"/>
  <c r="BB30" i="4"/>
  <c r="BC30" i="4" s="1"/>
  <c r="BA31" i="4" s="1"/>
  <c r="BA27" i="3"/>
  <c r="AP30" i="4"/>
  <c r="AQ30" i="4" s="1"/>
  <c r="AO31" i="4" s="1"/>
  <c r="AJ30" i="4"/>
  <c r="AK30" i="4" s="1"/>
  <c r="AI31" i="4" s="1"/>
  <c r="BR30" i="3"/>
  <c r="BS29" i="3"/>
  <c r="BT29" i="3" s="1"/>
  <c r="BF31" i="3"/>
  <c r="BG30" i="3"/>
  <c r="BH30" i="3" s="1"/>
  <c r="BK29" i="3"/>
  <c r="BL29" i="3" s="1"/>
  <c r="BJ30" i="3"/>
  <c r="AX29" i="3"/>
  <c r="AY28" i="3"/>
  <c r="AZ28" i="3" s="1"/>
  <c r="AU29" i="3"/>
  <c r="AV29" i="3" s="1"/>
  <c r="AT30" i="3"/>
  <c r="AS30" i="4"/>
  <c r="AT30" i="4" s="1"/>
  <c r="AR31" i="4" s="1"/>
  <c r="BH30" i="4"/>
  <c r="BI30" i="4" s="1"/>
  <c r="BG31" i="4" s="1"/>
  <c r="BE29" i="3"/>
  <c r="BE30" i="4"/>
  <c r="BF30" i="4" s="1"/>
  <c r="BD31" i="4" s="1"/>
  <c r="AV30" i="4"/>
  <c r="AW30" i="4" s="1"/>
  <c r="AU31" i="4" s="1"/>
  <c r="CC28" i="3"/>
  <c r="CA29" i="3"/>
  <c r="CB29" i="3" s="1"/>
  <c r="BZ30" i="3"/>
  <c r="BV30" i="3"/>
  <c r="BW29" i="3"/>
  <c r="BX29" i="3" s="1"/>
  <c r="AS28" i="3"/>
  <c r="AQ29" i="3"/>
  <c r="AR29" i="3" s="1"/>
  <c r="AP30" i="3"/>
  <c r="AG29" i="4"/>
  <c r="AH29" i="4" s="1"/>
  <c r="AF30" i="4" s="1"/>
  <c r="Y28" i="3"/>
  <c r="W29" i="3"/>
  <c r="X29" i="3" s="1"/>
  <c r="V30" i="3"/>
  <c r="O28" i="4"/>
  <c r="P28" i="4" s="1"/>
  <c r="N29" i="4" s="1"/>
  <c r="M28" i="3"/>
  <c r="AK28" i="3"/>
  <c r="I30" i="4"/>
  <c r="J30" i="4" s="1"/>
  <c r="H31" i="4" s="1"/>
  <c r="R31" i="4"/>
  <c r="S31" i="4" s="1"/>
  <c r="Q32" i="4" s="1"/>
  <c r="AO28" i="3"/>
  <c r="U27" i="3"/>
  <c r="F30" i="4"/>
  <c r="G30" i="4" s="1"/>
  <c r="E31" i="4" s="1"/>
  <c r="AA30" i="4"/>
  <c r="AB30" i="4" s="1"/>
  <c r="Z31" i="4" s="1"/>
  <c r="AM29" i="3"/>
  <c r="AN29" i="3" s="1"/>
  <c r="AL30" i="3"/>
  <c r="AD30" i="4"/>
  <c r="AE30" i="4" s="1"/>
  <c r="AC31" i="4" s="1"/>
  <c r="L30" i="4"/>
  <c r="M30" i="4" s="1"/>
  <c r="K31" i="4" s="1"/>
  <c r="Q29" i="3"/>
  <c r="AH30" i="3"/>
  <c r="AI29" i="3"/>
  <c r="AJ29" i="3" s="1"/>
  <c r="X30" i="4"/>
  <c r="Y30" i="4" s="1"/>
  <c r="W31" i="4" s="1"/>
  <c r="N31" i="3"/>
  <c r="O30" i="3"/>
  <c r="P30" i="3" s="1"/>
  <c r="S28" i="3"/>
  <c r="T28" i="3" s="1"/>
  <c r="R29" i="3"/>
  <c r="J30" i="3"/>
  <c r="K29" i="3"/>
  <c r="L29" i="3" s="1"/>
  <c r="C29" i="4"/>
  <c r="D29" i="4" s="1"/>
  <c r="B30" i="4" s="1"/>
  <c r="E27" i="3"/>
  <c r="B29" i="3"/>
  <c r="C28" i="3"/>
  <c r="D28" i="3" s="1"/>
  <c r="CD28" i="3"/>
  <c r="CE27" i="3"/>
  <c r="G20" i="18"/>
  <c r="A21" i="18"/>
  <c r="L9" i="18"/>
  <c r="M9" i="18" s="1"/>
  <c r="O9" i="18" s="1"/>
  <c r="P9" i="18" s="1"/>
  <c r="V20" i="4"/>
  <c r="Z29" i="3"/>
  <c r="AA28" i="3"/>
  <c r="AB27" i="3"/>
  <c r="AC26" i="3"/>
  <c r="CG26" i="3" s="1"/>
  <c r="CI26" i="3" s="1"/>
  <c r="CL26" i="3" s="1"/>
  <c r="CN26" i="3" s="1"/>
  <c r="F17" i="14" s="1"/>
  <c r="M11" i="14"/>
  <c r="T10" i="18"/>
  <c r="N11" i="14" s="1"/>
  <c r="BP28" i="3"/>
  <c r="BQ27" i="3"/>
  <c r="AY21" i="4"/>
  <c r="BN30" i="3"/>
  <c r="BO29" i="3"/>
  <c r="B16" i="18" l="1"/>
  <c r="D15" i="18"/>
  <c r="E15" i="18" s="1"/>
  <c r="A21" i="14"/>
  <c r="A22" i="2"/>
  <c r="CH29" i="3"/>
  <c r="BL30" i="4"/>
  <c r="F30" i="3"/>
  <c r="G29" i="3"/>
  <c r="H29" i="3" s="1"/>
  <c r="I29" i="3" s="1"/>
  <c r="AG29" i="3"/>
  <c r="AD31" i="3"/>
  <c r="AE30" i="3"/>
  <c r="AF30" i="3" s="1"/>
  <c r="BB32" i="3"/>
  <c r="BC31" i="3"/>
  <c r="BM29" i="3"/>
  <c r="BY29" i="3"/>
  <c r="BU29" i="3"/>
  <c r="AM30" i="4"/>
  <c r="AN30" i="4" s="1"/>
  <c r="AL31" i="4" s="1"/>
  <c r="BE31" i="4"/>
  <c r="BF31" i="4" s="1"/>
  <c r="BD32" i="4" s="1"/>
  <c r="AS31" i="4"/>
  <c r="AT31" i="4" s="1"/>
  <c r="AR32" i="4" s="1"/>
  <c r="BA28" i="3"/>
  <c r="BI30" i="3"/>
  <c r="AW29" i="3"/>
  <c r="AJ31" i="4"/>
  <c r="AK31" i="4" s="1"/>
  <c r="AI32" i="4" s="1"/>
  <c r="AP31" i="4"/>
  <c r="AQ31" i="4" s="1"/>
  <c r="AO32" i="4" s="1"/>
  <c r="BF32" i="3"/>
  <c r="BG31" i="3"/>
  <c r="BH31" i="3" s="1"/>
  <c r="AV31" i="4"/>
  <c r="AW31" i="4" s="1"/>
  <c r="AU32" i="4" s="1"/>
  <c r="BW30" i="3"/>
  <c r="BX30" i="3" s="1"/>
  <c r="BV31" i="3"/>
  <c r="BZ31" i="3"/>
  <c r="CA30" i="3"/>
  <c r="CB30" i="3" s="1"/>
  <c r="BH31" i="4"/>
  <c r="BI31" i="4" s="1"/>
  <c r="BG32" i="4" s="1"/>
  <c r="AY29" i="3"/>
  <c r="AZ29" i="3" s="1"/>
  <c r="AX30" i="3"/>
  <c r="BB31" i="4"/>
  <c r="BC31" i="4" s="1"/>
  <c r="BA32" i="4" s="1"/>
  <c r="AT31" i="3"/>
  <c r="AU30" i="3"/>
  <c r="AV30" i="3" s="1"/>
  <c r="AW30" i="3" s="1"/>
  <c r="CC29" i="3"/>
  <c r="BD31" i="3"/>
  <c r="BE30" i="3"/>
  <c r="BS30" i="3"/>
  <c r="BT30" i="3" s="1"/>
  <c r="BR31" i="3"/>
  <c r="BJ31" i="3"/>
  <c r="BK30" i="3"/>
  <c r="BL30" i="3" s="1"/>
  <c r="AG30" i="4"/>
  <c r="AH30" i="4" s="1"/>
  <c r="AF31" i="4" s="1"/>
  <c r="AS29" i="3"/>
  <c r="AQ30" i="3"/>
  <c r="AR30" i="3" s="1"/>
  <c r="AP31" i="3"/>
  <c r="Y29" i="3"/>
  <c r="W30" i="3"/>
  <c r="X30" i="3" s="1"/>
  <c r="V31" i="3"/>
  <c r="CD29" i="3"/>
  <c r="Q30" i="3"/>
  <c r="M29" i="3"/>
  <c r="I31" i="4"/>
  <c r="J31" i="4" s="1"/>
  <c r="H32" i="4" s="1"/>
  <c r="AA31" i="4"/>
  <c r="AB31" i="4" s="1"/>
  <c r="Z32" i="4" s="1"/>
  <c r="AO29" i="3"/>
  <c r="AK29" i="3"/>
  <c r="AD31" i="4"/>
  <c r="AE31" i="4" s="1"/>
  <c r="AC32" i="4" s="1"/>
  <c r="F31" i="4"/>
  <c r="G31" i="4" s="1"/>
  <c r="E32" i="4" s="1"/>
  <c r="L31" i="4"/>
  <c r="M31" i="4" s="1"/>
  <c r="K32" i="4" s="1"/>
  <c r="U28" i="3"/>
  <c r="O29" i="4"/>
  <c r="P29" i="4" s="1"/>
  <c r="N30" i="4" s="1"/>
  <c r="J31" i="3"/>
  <c r="K30" i="3"/>
  <c r="L30" i="3" s="1"/>
  <c r="N32" i="3"/>
  <c r="O31" i="3"/>
  <c r="P31" i="3" s="1"/>
  <c r="S29" i="3"/>
  <c r="T29" i="3" s="1"/>
  <c r="R30" i="3"/>
  <c r="AM30" i="3"/>
  <c r="AN30" i="3" s="1"/>
  <c r="AL31" i="3"/>
  <c r="AH31" i="3"/>
  <c r="AI30" i="3"/>
  <c r="AJ30" i="3" s="1"/>
  <c r="X31" i="4"/>
  <c r="Y31" i="4" s="1"/>
  <c r="W32" i="4" s="1"/>
  <c r="R32" i="4"/>
  <c r="S32" i="4" s="1"/>
  <c r="Q33" i="4" s="1"/>
  <c r="E28" i="3"/>
  <c r="B30" i="3"/>
  <c r="C29" i="3"/>
  <c r="D29" i="3" s="1"/>
  <c r="CE28" i="3"/>
  <c r="C30" i="4"/>
  <c r="D30" i="4"/>
  <c r="B31" i="4" s="1"/>
  <c r="G21" i="18"/>
  <c r="A22" i="18"/>
  <c r="AB28" i="3"/>
  <c r="AC27" i="3"/>
  <c r="CG27" i="3" s="1"/>
  <c r="CI27" i="3" s="1"/>
  <c r="CL27" i="3" s="1"/>
  <c r="CN27" i="3" s="1"/>
  <c r="F18" i="14" s="1"/>
  <c r="AA29" i="3"/>
  <c r="Z30" i="3"/>
  <c r="T21" i="4"/>
  <c r="BK20" i="4"/>
  <c r="BM20" i="4" s="1"/>
  <c r="BO20" i="4" s="1"/>
  <c r="CF27" i="3"/>
  <c r="BO30" i="3"/>
  <c r="BN31" i="3"/>
  <c r="BP29" i="3"/>
  <c r="BQ28" i="3"/>
  <c r="AZ21" i="4"/>
  <c r="B17" i="18" l="1"/>
  <c r="D16" i="18"/>
  <c r="E16" i="18" s="1"/>
  <c r="A22" i="14"/>
  <c r="A23" i="2"/>
  <c r="BL31" i="4"/>
  <c r="CH30" i="3"/>
  <c r="AG30" i="3"/>
  <c r="AD32" i="3"/>
  <c r="AE31" i="3"/>
  <c r="AF31" i="3" s="1"/>
  <c r="CE29" i="3"/>
  <c r="F31" i="3"/>
  <c r="G30" i="3"/>
  <c r="H30" i="3" s="1"/>
  <c r="I30" i="3" s="1"/>
  <c r="BC32" i="3"/>
  <c r="BB33" i="3"/>
  <c r="BB32" i="4"/>
  <c r="BC32" i="4" s="1"/>
  <c r="BA33" i="4" s="1"/>
  <c r="BY30" i="3"/>
  <c r="BE32" i="4"/>
  <c r="BF32" i="4" s="1"/>
  <c r="BD33" i="4" s="1"/>
  <c r="BA29" i="3"/>
  <c r="BM30" i="3"/>
  <c r="BU30" i="3"/>
  <c r="BH32" i="4"/>
  <c r="BI32" i="4" s="1"/>
  <c r="BG33" i="4" s="1"/>
  <c r="BD32" i="3"/>
  <c r="BE31" i="3"/>
  <c r="BW31" i="3"/>
  <c r="BX31" i="3" s="1"/>
  <c r="BV32" i="3"/>
  <c r="AP32" i="4"/>
  <c r="AQ32" i="4" s="1"/>
  <c r="AO33" i="4" s="1"/>
  <c r="AM31" i="4"/>
  <c r="AN31" i="4" s="1"/>
  <c r="AL32" i="4" s="1"/>
  <c r="BF33" i="3"/>
  <c r="BG32" i="3"/>
  <c r="BH32" i="3" s="1"/>
  <c r="AV32" i="4"/>
  <c r="AW32" i="4" s="1"/>
  <c r="AU33" i="4" s="1"/>
  <c r="AJ32" i="4"/>
  <c r="AK32" i="4" s="1"/>
  <c r="AI33" i="4" s="1"/>
  <c r="AS32" i="4"/>
  <c r="AT32" i="4" s="1"/>
  <c r="AR33" i="4" s="1"/>
  <c r="CA31" i="3"/>
  <c r="CB31" i="3" s="1"/>
  <c r="BZ32" i="3"/>
  <c r="AY30" i="3"/>
  <c r="AZ30" i="3" s="1"/>
  <c r="AX31" i="3"/>
  <c r="BK31" i="3"/>
  <c r="BL31" i="3" s="1"/>
  <c r="BJ32" i="3"/>
  <c r="AT32" i="3"/>
  <c r="AU31" i="3"/>
  <c r="AV31" i="3" s="1"/>
  <c r="CC30" i="3"/>
  <c r="BI31" i="3"/>
  <c r="BS31" i="3"/>
  <c r="BT31" i="3" s="1"/>
  <c r="BR32" i="3"/>
  <c r="AS30" i="3"/>
  <c r="AG31" i="4"/>
  <c r="AH31" i="4"/>
  <c r="AF32" i="4" s="1"/>
  <c r="AQ31" i="3"/>
  <c r="AR31" i="3" s="1"/>
  <c r="AP32" i="3"/>
  <c r="V32" i="3"/>
  <c r="W31" i="3"/>
  <c r="X31" i="3" s="1"/>
  <c r="Y31" i="3" s="1"/>
  <c r="Y30" i="3"/>
  <c r="CD30" i="3"/>
  <c r="AA32" i="4"/>
  <c r="AB32" i="4" s="1"/>
  <c r="Z33" i="4" s="1"/>
  <c r="Q31" i="3"/>
  <c r="I32" i="4"/>
  <c r="J32" i="4"/>
  <c r="H33" i="4" s="1"/>
  <c r="O30" i="4"/>
  <c r="P30" i="4" s="1"/>
  <c r="N31" i="4" s="1"/>
  <c r="L32" i="4"/>
  <c r="M32" i="4" s="1"/>
  <c r="K33" i="4" s="1"/>
  <c r="M30" i="3"/>
  <c r="AO30" i="3"/>
  <c r="AK30" i="3"/>
  <c r="X32" i="4"/>
  <c r="Y32" i="4" s="1"/>
  <c r="W33" i="4" s="1"/>
  <c r="AD32" i="4"/>
  <c r="AE32" i="4"/>
  <c r="AC33" i="4" s="1"/>
  <c r="AM31" i="3"/>
  <c r="AN31" i="3" s="1"/>
  <c r="AL32" i="3"/>
  <c r="N33" i="3"/>
  <c r="O32" i="3"/>
  <c r="P32" i="3" s="1"/>
  <c r="J32" i="3"/>
  <c r="K31" i="3"/>
  <c r="L31" i="3" s="1"/>
  <c r="R33" i="4"/>
  <c r="S33" i="4" s="1"/>
  <c r="Q34" i="4" s="1"/>
  <c r="AH32" i="3"/>
  <c r="AI31" i="3"/>
  <c r="AJ31" i="3" s="1"/>
  <c r="U29" i="3"/>
  <c r="F32" i="4"/>
  <c r="G32" i="4" s="1"/>
  <c r="E33" i="4" s="1"/>
  <c r="S30" i="3"/>
  <c r="T30" i="3" s="1"/>
  <c r="R31" i="3"/>
  <c r="E29" i="3"/>
  <c r="C30" i="3"/>
  <c r="D30" i="3" s="1"/>
  <c r="B31" i="3"/>
  <c r="C31" i="4"/>
  <c r="D31" i="4" s="1"/>
  <c r="B32" i="4" s="1"/>
  <c r="G22" i="18"/>
  <c r="A23" i="18"/>
  <c r="U21" i="4"/>
  <c r="BJ21" i="4" s="1"/>
  <c r="G12" i="14" s="1"/>
  <c r="L12" i="14" s="1"/>
  <c r="R11" i="18" s="1"/>
  <c r="S11" i="18" s="1"/>
  <c r="AB29" i="3"/>
  <c r="CF29" i="3" s="1"/>
  <c r="AC28" i="3"/>
  <c r="CG28" i="3" s="1"/>
  <c r="CI28" i="3" s="1"/>
  <c r="CL28" i="3" s="1"/>
  <c r="CN28" i="3" s="1"/>
  <c r="F19" i="14" s="1"/>
  <c r="Z31" i="3"/>
  <c r="AA30" i="3"/>
  <c r="CF28" i="3"/>
  <c r="K10" i="18"/>
  <c r="E11" i="14"/>
  <c r="H11" i="14" s="1"/>
  <c r="J11" i="14" s="1"/>
  <c r="G11" i="2" s="1"/>
  <c r="F11" i="2"/>
  <c r="AX22" i="4"/>
  <c r="BN32" i="3"/>
  <c r="BO31" i="3"/>
  <c r="BP30" i="3"/>
  <c r="BQ29" i="3"/>
  <c r="B18" i="18" l="1"/>
  <c r="D17" i="18"/>
  <c r="E17" i="18" s="1"/>
  <c r="A23" i="14"/>
  <c r="A24" i="2"/>
  <c r="BL32" i="4"/>
  <c r="CH31" i="3"/>
  <c r="AG31" i="3"/>
  <c r="F32" i="3"/>
  <c r="G31" i="3"/>
  <c r="H31" i="3" s="1"/>
  <c r="I31" i="3" s="1"/>
  <c r="AD33" i="3"/>
  <c r="AE32" i="3"/>
  <c r="AF32" i="3" s="1"/>
  <c r="BC33" i="3"/>
  <c r="BB34" i="3"/>
  <c r="BY31" i="3"/>
  <c r="BU31" i="3"/>
  <c r="AV33" i="4"/>
  <c r="AW33" i="4"/>
  <c r="AU34" i="4" s="1"/>
  <c r="BL32" i="3"/>
  <c r="BM32" i="3" s="1"/>
  <c r="BM31" i="3"/>
  <c r="AM32" i="4"/>
  <c r="AN32" i="4" s="1"/>
  <c r="AL33" i="4" s="1"/>
  <c r="AW31" i="3"/>
  <c r="AS33" i="4"/>
  <c r="AT33" i="4" s="1"/>
  <c r="AR34" i="4" s="1"/>
  <c r="CC31" i="3"/>
  <c r="BB33" i="4"/>
  <c r="BC33" i="4"/>
  <c r="BA34" i="4" s="1"/>
  <c r="BI32" i="3"/>
  <c r="BH33" i="4"/>
  <c r="BI33" i="4" s="1"/>
  <c r="BG34" i="4" s="1"/>
  <c r="BE33" i="4"/>
  <c r="BF33" i="4" s="1"/>
  <c r="BD34" i="4" s="1"/>
  <c r="BR33" i="3"/>
  <c r="BS32" i="3"/>
  <c r="BT32" i="3" s="1"/>
  <c r="BK32" i="3"/>
  <c r="BJ33" i="3"/>
  <c r="BV33" i="3"/>
  <c r="BW32" i="3"/>
  <c r="BX32" i="3" s="1"/>
  <c r="CA32" i="3"/>
  <c r="CB32" i="3" s="1"/>
  <c r="BZ33" i="3"/>
  <c r="BF34" i="3"/>
  <c r="BG33" i="3"/>
  <c r="BH33" i="3" s="1"/>
  <c r="AU32" i="3"/>
  <c r="AV32" i="3" s="1"/>
  <c r="AT33" i="3"/>
  <c r="BA30" i="3"/>
  <c r="AX32" i="3"/>
  <c r="AY31" i="3"/>
  <c r="AZ31" i="3" s="1"/>
  <c r="AJ33" i="4"/>
  <c r="AK33" i="4" s="1"/>
  <c r="AI34" i="4" s="1"/>
  <c r="BD33" i="3"/>
  <c r="BE32" i="3"/>
  <c r="AP33" i="4"/>
  <c r="AQ33" i="4" s="1"/>
  <c r="AO34" i="4" s="1"/>
  <c r="AS31" i="3"/>
  <c r="AQ32" i="3"/>
  <c r="AR32" i="3" s="1"/>
  <c r="AP33" i="3"/>
  <c r="AG32" i="4"/>
  <c r="AH32" i="4" s="1"/>
  <c r="AF33" i="4" s="1"/>
  <c r="W32" i="3"/>
  <c r="X32" i="3" s="1"/>
  <c r="Y32" i="3" s="1"/>
  <c r="V33" i="3"/>
  <c r="CE30" i="3"/>
  <c r="H11" i="2"/>
  <c r="J11" i="2" s="1"/>
  <c r="L11" i="2" s="1"/>
  <c r="AK31" i="3"/>
  <c r="M31" i="3"/>
  <c r="L33" i="4"/>
  <c r="M33" i="4" s="1"/>
  <c r="K34" i="4" s="1"/>
  <c r="U30" i="3"/>
  <c r="AO31" i="3"/>
  <c r="Q32" i="3"/>
  <c r="R34" i="4"/>
  <c r="S34" i="4" s="1"/>
  <c r="Q35" i="4" s="1"/>
  <c r="AA33" i="4"/>
  <c r="AB33" i="4" s="1"/>
  <c r="Z34" i="4" s="1"/>
  <c r="O31" i="4"/>
  <c r="P31" i="4" s="1"/>
  <c r="N32" i="4" s="1"/>
  <c r="N34" i="3"/>
  <c r="O33" i="3"/>
  <c r="P33" i="3" s="1"/>
  <c r="I33" i="4"/>
  <c r="J33" i="4" s="1"/>
  <c r="H34" i="4" s="1"/>
  <c r="S31" i="3"/>
  <c r="T31" i="3" s="1"/>
  <c r="U31" i="3" s="1"/>
  <c r="R32" i="3"/>
  <c r="AH33" i="3"/>
  <c r="AI32" i="3"/>
  <c r="AJ32" i="3" s="1"/>
  <c r="AL33" i="3"/>
  <c r="AM32" i="3"/>
  <c r="AN32" i="3" s="1"/>
  <c r="X33" i="4"/>
  <c r="Y33" i="4" s="1"/>
  <c r="W34" i="4" s="1"/>
  <c r="K32" i="3"/>
  <c r="L32" i="3" s="1"/>
  <c r="J33" i="3"/>
  <c r="AD33" i="4"/>
  <c r="AE33" i="4" s="1"/>
  <c r="AC34" i="4" s="1"/>
  <c r="F33" i="4"/>
  <c r="G33" i="4" s="1"/>
  <c r="E34" i="4" s="1"/>
  <c r="E30" i="3"/>
  <c r="C32" i="4"/>
  <c r="D32" i="4" s="1"/>
  <c r="B33" i="4" s="1"/>
  <c r="C31" i="3"/>
  <c r="D31" i="3" s="1"/>
  <c r="E31" i="3" s="1"/>
  <c r="B32" i="3"/>
  <c r="G23" i="18"/>
  <c r="A24" i="18"/>
  <c r="L10" i="18"/>
  <c r="M10" i="18" s="1"/>
  <c r="O10" i="18" s="1"/>
  <c r="P10" i="18" s="1"/>
  <c r="AA31" i="3"/>
  <c r="Z32" i="3"/>
  <c r="AB30" i="3"/>
  <c r="CF30" i="3" s="1"/>
  <c r="AC29" i="3"/>
  <c r="CG29" i="3" s="1"/>
  <c r="CI29" i="3" s="1"/>
  <c r="CL29" i="3" s="1"/>
  <c r="CN29" i="3" s="1"/>
  <c r="F20" i="14" s="1"/>
  <c r="CD31" i="3"/>
  <c r="V21" i="4"/>
  <c r="BP31" i="3"/>
  <c r="BQ30" i="3"/>
  <c r="BO32" i="3"/>
  <c r="BN33" i="3"/>
  <c r="M12" i="14"/>
  <c r="T11" i="18"/>
  <c r="N12" i="14" s="1"/>
  <c r="AY22" i="4"/>
  <c r="B19" i="18" l="1"/>
  <c r="D18" i="18"/>
  <c r="E18" i="18" s="1"/>
  <c r="A24" i="14"/>
  <c r="A25" i="2"/>
  <c r="BL33" i="4"/>
  <c r="CH32" i="3"/>
  <c r="AF33" i="3"/>
  <c r="AG33" i="3" s="1"/>
  <c r="AG32" i="3"/>
  <c r="AE33" i="3"/>
  <c r="AD34" i="3"/>
  <c r="G32" i="3"/>
  <c r="H32" i="3" s="1"/>
  <c r="I32" i="3" s="1"/>
  <c r="F33" i="3"/>
  <c r="BB35" i="3"/>
  <c r="BC34" i="3"/>
  <c r="BD34" i="3" s="1"/>
  <c r="BY32" i="3"/>
  <c r="BU32" i="3"/>
  <c r="AM33" i="4"/>
  <c r="AN33" i="4" s="1"/>
  <c r="AL34" i="4" s="1"/>
  <c r="BE34" i="4"/>
  <c r="BF34" i="4" s="1"/>
  <c r="BD35" i="4" s="1"/>
  <c r="AW32" i="3"/>
  <c r="BI33" i="3"/>
  <c r="BA31" i="3"/>
  <c r="AS34" i="4"/>
  <c r="AT34" i="4" s="1"/>
  <c r="AR35" i="4" s="1"/>
  <c r="AV34" i="4"/>
  <c r="AW34" i="4" s="1"/>
  <c r="AU35" i="4" s="1"/>
  <c r="BG34" i="3"/>
  <c r="BH34" i="3" s="1"/>
  <c r="BF35" i="3"/>
  <c r="BH34" i="4"/>
  <c r="BI34" i="4" s="1"/>
  <c r="BG35" i="4" s="1"/>
  <c r="AP34" i="4"/>
  <c r="AQ34" i="4" s="1"/>
  <c r="AO35" i="4" s="1"/>
  <c r="AY32" i="3"/>
  <c r="AZ32" i="3" s="1"/>
  <c r="AX33" i="3"/>
  <c r="CA33" i="3"/>
  <c r="CB33" i="3" s="1"/>
  <c r="BZ34" i="3"/>
  <c r="AJ34" i="4"/>
  <c r="AK34" i="4" s="1"/>
  <c r="AI35" i="4" s="1"/>
  <c r="BV34" i="3"/>
  <c r="BW33" i="3"/>
  <c r="BX33" i="3" s="1"/>
  <c r="CC32" i="3"/>
  <c r="BJ34" i="3"/>
  <c r="BK33" i="3"/>
  <c r="BL33" i="3" s="1"/>
  <c r="AU33" i="3"/>
  <c r="AV33" i="3" s="1"/>
  <c r="AT34" i="3"/>
  <c r="BE33" i="3"/>
  <c r="BR34" i="3"/>
  <c r="BS33" i="3"/>
  <c r="BT33" i="3" s="1"/>
  <c r="BB34" i="4"/>
  <c r="BC34" i="4" s="1"/>
  <c r="BA35" i="4" s="1"/>
  <c r="AG33" i="4"/>
  <c r="AH33" i="4" s="1"/>
  <c r="AF34" i="4" s="1"/>
  <c r="AS32" i="3"/>
  <c r="AP34" i="3"/>
  <c r="AQ33" i="3"/>
  <c r="AR33" i="3" s="1"/>
  <c r="W33" i="3"/>
  <c r="X33" i="3" s="1"/>
  <c r="Y33" i="3" s="1"/>
  <c r="V34" i="3"/>
  <c r="Q33" i="3"/>
  <c r="M32" i="3"/>
  <c r="L34" i="4"/>
  <c r="M34" i="4" s="1"/>
  <c r="K35" i="4" s="1"/>
  <c r="AD34" i="4"/>
  <c r="AE34" i="4" s="1"/>
  <c r="AC35" i="4" s="1"/>
  <c r="AK32" i="3"/>
  <c r="AA34" i="4"/>
  <c r="AB34" i="4" s="1"/>
  <c r="Z35" i="4" s="1"/>
  <c r="X34" i="4"/>
  <c r="Y34" i="4"/>
  <c r="W35" i="4" s="1"/>
  <c r="AO32" i="3"/>
  <c r="I34" i="4"/>
  <c r="J34" i="4" s="1"/>
  <c r="H35" i="4" s="1"/>
  <c r="F34" i="4"/>
  <c r="G34" i="4" s="1"/>
  <c r="E35" i="4" s="1"/>
  <c r="R35" i="4"/>
  <c r="S35" i="4" s="1"/>
  <c r="Q36" i="4" s="1"/>
  <c r="AI33" i="3"/>
  <c r="AJ33" i="3" s="1"/>
  <c r="AH34" i="3"/>
  <c r="N35" i="3"/>
  <c r="O34" i="3"/>
  <c r="P34" i="3" s="1"/>
  <c r="S32" i="3"/>
  <c r="T32" i="3" s="1"/>
  <c r="R33" i="3"/>
  <c r="O32" i="4"/>
  <c r="P32" i="4" s="1"/>
  <c r="N33" i="4" s="1"/>
  <c r="K33" i="3"/>
  <c r="L33" i="3" s="1"/>
  <c r="J34" i="3"/>
  <c r="AL34" i="3"/>
  <c r="AM33" i="3"/>
  <c r="AN33" i="3" s="1"/>
  <c r="C33" i="4"/>
  <c r="D33" i="4" s="1"/>
  <c r="B34" i="4" s="1"/>
  <c r="C32" i="3"/>
  <c r="D32" i="3" s="1"/>
  <c r="B33" i="3"/>
  <c r="CE31" i="3"/>
  <c r="A25" i="18"/>
  <c r="G24" i="18"/>
  <c r="AB31" i="3"/>
  <c r="CF31" i="3" s="1"/>
  <c r="AC30" i="3"/>
  <c r="CG30" i="3" s="1"/>
  <c r="CI30" i="3" s="1"/>
  <c r="CL30" i="3" s="1"/>
  <c r="CN30" i="3" s="1"/>
  <c r="F21" i="14" s="1"/>
  <c r="Z33" i="3"/>
  <c r="AA32" i="3"/>
  <c r="CD32" i="3"/>
  <c r="T22" i="4"/>
  <c r="BK21" i="4"/>
  <c r="BM21" i="4" s="1"/>
  <c r="BO21" i="4" s="1"/>
  <c r="BP32" i="3"/>
  <c r="BQ31" i="3"/>
  <c r="BN34" i="3"/>
  <c r="BO33" i="3"/>
  <c r="AZ22" i="4"/>
  <c r="B20" i="18" l="1"/>
  <c r="D19" i="18"/>
  <c r="E19" i="18" s="1"/>
  <c r="A25" i="14"/>
  <c r="A26" i="2"/>
  <c r="BL34" i="4"/>
  <c r="CH33" i="3"/>
  <c r="G33" i="3"/>
  <c r="H33" i="3" s="1"/>
  <c r="I33" i="3" s="1"/>
  <c r="F34" i="3"/>
  <c r="AD35" i="3"/>
  <c r="AE34" i="3"/>
  <c r="AF34" i="3" s="1"/>
  <c r="BC35" i="3"/>
  <c r="BB36" i="3"/>
  <c r="BA32" i="3"/>
  <c r="AW33" i="3"/>
  <c r="BI34" i="3"/>
  <c r="AM34" i="4"/>
  <c r="AN34" i="4" s="1"/>
  <c r="AL35" i="4" s="1"/>
  <c r="AP35" i="4"/>
  <c r="AQ35" i="4" s="1"/>
  <c r="AO36" i="4" s="1"/>
  <c r="BM33" i="3"/>
  <c r="CC33" i="3"/>
  <c r="AV35" i="4"/>
  <c r="AW35" i="4"/>
  <c r="AU36" i="4" s="1"/>
  <c r="BY33" i="3"/>
  <c r="BU33" i="3"/>
  <c r="AS35" i="4"/>
  <c r="AT35" i="4" s="1"/>
  <c r="AR36" i="4" s="1"/>
  <c r="BE35" i="4"/>
  <c r="BF35" i="4" s="1"/>
  <c r="BD36" i="4" s="1"/>
  <c r="BB35" i="4"/>
  <c r="BC35" i="4" s="1"/>
  <c r="BA36" i="4" s="1"/>
  <c r="BF36" i="3"/>
  <c r="BG35" i="3"/>
  <c r="BH35" i="3" s="1"/>
  <c r="BH35" i="4"/>
  <c r="BI35" i="4" s="1"/>
  <c r="BG36" i="4" s="1"/>
  <c r="AT35" i="3"/>
  <c r="AU34" i="3"/>
  <c r="AV34" i="3" s="1"/>
  <c r="BV35" i="3"/>
  <c r="BW34" i="3"/>
  <c r="BX34" i="3" s="1"/>
  <c r="AY33" i="3"/>
  <c r="AZ33" i="3" s="1"/>
  <c r="AX34" i="3"/>
  <c r="BS34" i="3"/>
  <c r="BT34" i="3" s="1"/>
  <c r="BR35" i="3"/>
  <c r="BJ35" i="3"/>
  <c r="BK34" i="3"/>
  <c r="BL34" i="3" s="1"/>
  <c r="AJ35" i="4"/>
  <c r="AK35" i="4" s="1"/>
  <c r="AI36" i="4" s="1"/>
  <c r="BZ35" i="3"/>
  <c r="CA34" i="3"/>
  <c r="CB34" i="3" s="1"/>
  <c r="BD35" i="3"/>
  <c r="BE34" i="3"/>
  <c r="AS33" i="3"/>
  <c r="AP35" i="3"/>
  <c r="AQ34" i="3"/>
  <c r="AR34" i="3" s="1"/>
  <c r="AS34" i="3" s="1"/>
  <c r="AG34" i="4"/>
  <c r="AH34" i="4" s="1"/>
  <c r="AF35" i="4" s="1"/>
  <c r="V35" i="3"/>
  <c r="W34" i="3"/>
  <c r="X34" i="3" s="1"/>
  <c r="Y34" i="3" s="1"/>
  <c r="CE32" i="3"/>
  <c r="AK33" i="3"/>
  <c r="M33" i="3"/>
  <c r="O33" i="4"/>
  <c r="P33" i="4" s="1"/>
  <c r="N34" i="4" s="1"/>
  <c r="AO33" i="3"/>
  <c r="Q34" i="3"/>
  <c r="R36" i="4"/>
  <c r="S36" i="4" s="1"/>
  <c r="Q37" i="4" s="1"/>
  <c r="AD35" i="4"/>
  <c r="AE35" i="4" s="1"/>
  <c r="AC36" i="4" s="1"/>
  <c r="O35" i="3"/>
  <c r="P35" i="3" s="1"/>
  <c r="N36" i="3"/>
  <c r="F35" i="4"/>
  <c r="G35" i="4" s="1"/>
  <c r="E36" i="4" s="1"/>
  <c r="X35" i="4"/>
  <c r="Y35" i="4" s="1"/>
  <c r="W36" i="4" s="1"/>
  <c r="L35" i="4"/>
  <c r="M35" i="4" s="1"/>
  <c r="K36" i="4" s="1"/>
  <c r="AH35" i="3"/>
  <c r="AI34" i="3"/>
  <c r="AJ34" i="3" s="1"/>
  <c r="I35" i="4"/>
  <c r="J35" i="4" s="1"/>
  <c r="H36" i="4" s="1"/>
  <c r="AA35" i="4"/>
  <c r="AB35" i="4" s="1"/>
  <c r="Z36" i="4" s="1"/>
  <c r="AL35" i="3"/>
  <c r="AM34" i="3"/>
  <c r="AN34" i="3" s="1"/>
  <c r="S33" i="3"/>
  <c r="T33" i="3" s="1"/>
  <c r="U33" i="3" s="1"/>
  <c r="R34" i="3"/>
  <c r="U32" i="3"/>
  <c r="J35" i="3"/>
  <c r="K34" i="3"/>
  <c r="L34" i="3" s="1"/>
  <c r="C34" i="4"/>
  <c r="D34" i="4" s="1"/>
  <c r="B35" i="4" s="1"/>
  <c r="B34" i="3"/>
  <c r="C33" i="3"/>
  <c r="D33" i="3" s="1"/>
  <c r="E32" i="3"/>
  <c r="A26" i="18"/>
  <c r="G25" i="18"/>
  <c r="Z34" i="3"/>
  <c r="AA33" i="3"/>
  <c r="E12" i="14"/>
  <c r="H12" i="14" s="1"/>
  <c r="J12" i="14" s="1"/>
  <c r="K11" i="18"/>
  <c r="F12" i="2"/>
  <c r="CD33" i="3"/>
  <c r="U22" i="4"/>
  <c r="BJ22" i="4" s="1"/>
  <c r="G13" i="14" s="1"/>
  <c r="L13" i="14" s="1"/>
  <c r="R12" i="18" s="1"/>
  <c r="S12" i="18" s="1"/>
  <c r="AB32" i="3"/>
  <c r="CF32" i="3" s="1"/>
  <c r="AC31" i="3"/>
  <c r="CG31" i="3" s="1"/>
  <c r="CI31" i="3" s="1"/>
  <c r="CL31" i="3" s="1"/>
  <c r="CN31" i="3" s="1"/>
  <c r="F22" i="14" s="1"/>
  <c r="BO34" i="3"/>
  <c r="BN35" i="3"/>
  <c r="AX23" i="4"/>
  <c r="BP33" i="3"/>
  <c r="BQ32" i="3"/>
  <c r="D20" i="18" l="1"/>
  <c r="E20" i="18" s="1"/>
  <c r="B21" i="18"/>
  <c r="A27" i="2"/>
  <c r="A26" i="14"/>
  <c r="CH34" i="3"/>
  <c r="BL35" i="4"/>
  <c r="AF35" i="3"/>
  <c r="AG34" i="3"/>
  <c r="AD36" i="3"/>
  <c r="AE35" i="3"/>
  <c r="G34" i="3"/>
  <c r="H34" i="3" s="1"/>
  <c r="I34" i="3" s="1"/>
  <c r="F35" i="3"/>
  <c r="BB37" i="3"/>
  <c r="BC36" i="3"/>
  <c r="BD36" i="3" s="1"/>
  <c r="BI35" i="3"/>
  <c r="CC34" i="3"/>
  <c r="BA33" i="3"/>
  <c r="BY34" i="3"/>
  <c r="BB36" i="4"/>
  <c r="BC36" i="4" s="1"/>
  <c r="BA37" i="4" s="1"/>
  <c r="AJ36" i="4"/>
  <c r="AK36" i="4" s="1"/>
  <c r="AI37" i="4" s="1"/>
  <c r="BU34" i="3"/>
  <c r="BM34" i="3"/>
  <c r="AW34" i="3"/>
  <c r="AM35" i="4"/>
  <c r="AN35" i="4" s="1"/>
  <c r="AL36" i="4" s="1"/>
  <c r="BF37" i="3"/>
  <c r="BG36" i="3"/>
  <c r="BH36" i="3" s="1"/>
  <c r="AS36" i="4"/>
  <c r="AT36" i="4" s="1"/>
  <c r="AR37" i="4" s="1"/>
  <c r="AV36" i="4"/>
  <c r="AW36" i="4" s="1"/>
  <c r="AU37" i="4" s="1"/>
  <c r="BE35" i="3"/>
  <c r="BW35" i="3"/>
  <c r="BX35" i="3" s="1"/>
  <c r="BV36" i="3"/>
  <c r="BS35" i="3"/>
  <c r="BT35" i="3" s="1"/>
  <c r="BU35" i="3" s="1"/>
  <c r="BR36" i="3"/>
  <c r="BZ36" i="3"/>
  <c r="CA35" i="3"/>
  <c r="CB35" i="3" s="1"/>
  <c r="BK35" i="3"/>
  <c r="BL35" i="3" s="1"/>
  <c r="BJ36" i="3"/>
  <c r="AU35" i="3"/>
  <c r="AV35" i="3" s="1"/>
  <c r="AT36" i="3"/>
  <c r="BE36" i="4"/>
  <c r="BF36" i="4"/>
  <c r="BD37" i="4" s="1"/>
  <c r="AY34" i="3"/>
  <c r="AZ34" i="3" s="1"/>
  <c r="AX35" i="3"/>
  <c r="BH36" i="4"/>
  <c r="BI36" i="4"/>
  <c r="BG37" i="4" s="1"/>
  <c r="AP36" i="4"/>
  <c r="AQ36" i="4" s="1"/>
  <c r="AO37" i="4" s="1"/>
  <c r="AG35" i="4"/>
  <c r="AH35" i="4"/>
  <c r="AF36" i="4" s="1"/>
  <c r="AP36" i="3"/>
  <c r="AQ35" i="3"/>
  <c r="AR35" i="3" s="1"/>
  <c r="V36" i="3"/>
  <c r="W35" i="3"/>
  <c r="X35" i="3" s="1"/>
  <c r="Y35" i="3" s="1"/>
  <c r="CE33" i="3"/>
  <c r="CD34" i="3"/>
  <c r="F36" i="4"/>
  <c r="G36" i="4" s="1"/>
  <c r="E37" i="4" s="1"/>
  <c r="R37" i="4"/>
  <c r="S37" i="4" s="1"/>
  <c r="Q38" i="4" s="1"/>
  <c r="M34" i="3"/>
  <c r="X36" i="4"/>
  <c r="Y36" i="4" s="1"/>
  <c r="W37" i="4" s="1"/>
  <c r="AA36" i="4"/>
  <c r="AB36" i="4" s="1"/>
  <c r="Z37" i="4" s="1"/>
  <c r="Q35" i="3"/>
  <c r="AO34" i="3"/>
  <c r="I36" i="4"/>
  <c r="J36" i="4" s="1"/>
  <c r="H37" i="4" s="1"/>
  <c r="AD36" i="4"/>
  <c r="AE36" i="4"/>
  <c r="AC37" i="4" s="1"/>
  <c r="AK34" i="3"/>
  <c r="L36" i="4"/>
  <c r="M36" i="4" s="1"/>
  <c r="K37" i="4" s="1"/>
  <c r="AM35" i="3"/>
  <c r="AN35" i="3" s="1"/>
  <c r="AL36" i="3"/>
  <c r="O36" i="3"/>
  <c r="P36" i="3" s="1"/>
  <c r="N37" i="3"/>
  <c r="AI35" i="3"/>
  <c r="AJ35" i="3" s="1"/>
  <c r="AH36" i="3"/>
  <c r="O34" i="4"/>
  <c r="P34" i="4" s="1"/>
  <c r="N35" i="4" s="1"/>
  <c r="AG35" i="3"/>
  <c r="S34" i="3"/>
  <c r="T34" i="3" s="1"/>
  <c r="U34" i="3" s="1"/>
  <c r="R35" i="3"/>
  <c r="K35" i="3"/>
  <c r="L35" i="3" s="1"/>
  <c r="J36" i="3"/>
  <c r="E33" i="3"/>
  <c r="B35" i="3"/>
  <c r="C34" i="3"/>
  <c r="D34" i="3" s="1"/>
  <c r="C35" i="4"/>
  <c r="D35" i="4" s="1"/>
  <c r="B36" i="4" s="1"/>
  <c r="A27" i="18"/>
  <c r="G26" i="18"/>
  <c r="V22" i="4"/>
  <c r="T23" i="4" s="1"/>
  <c r="U23" i="4" s="1"/>
  <c r="V23" i="4" s="1"/>
  <c r="T24" i="4" s="1"/>
  <c r="L11" i="18"/>
  <c r="M11" i="18" s="1"/>
  <c r="O11" i="18" s="1"/>
  <c r="P11" i="18" s="1"/>
  <c r="G12" i="2"/>
  <c r="H12" i="2" s="1"/>
  <c r="J12" i="2" s="1"/>
  <c r="L12" i="2" s="1"/>
  <c r="AB33" i="3"/>
  <c r="AC32" i="3"/>
  <c r="CG32" i="3" s="1"/>
  <c r="CI32" i="3" s="1"/>
  <c r="CL32" i="3" s="1"/>
  <c r="CN32" i="3" s="1"/>
  <c r="F23" i="14" s="1"/>
  <c r="T12" i="18"/>
  <c r="N13" i="14" s="1"/>
  <c r="M13" i="14"/>
  <c r="AA34" i="3"/>
  <c r="Z35" i="3"/>
  <c r="BK22" i="4"/>
  <c r="BM22" i="4" s="1"/>
  <c r="BO22" i="4" s="1"/>
  <c r="K12" i="18" s="1"/>
  <c r="BP34" i="3"/>
  <c r="BQ33" i="3"/>
  <c r="AY23" i="4"/>
  <c r="BO35" i="3"/>
  <c r="BN36" i="3"/>
  <c r="B22" i="18" l="1"/>
  <c r="D21" i="18"/>
  <c r="E21" i="18" s="1"/>
  <c r="A27" i="14"/>
  <c r="A28" i="2"/>
  <c r="CH35" i="3"/>
  <c r="BL36" i="4"/>
  <c r="G35" i="3"/>
  <c r="H35" i="3" s="1"/>
  <c r="I35" i="3" s="1"/>
  <c r="F36" i="3"/>
  <c r="AE36" i="3"/>
  <c r="AF36" i="3" s="1"/>
  <c r="AD37" i="3"/>
  <c r="BB38" i="3"/>
  <c r="BC37" i="3"/>
  <c r="BD37" i="3" s="1"/>
  <c r="AJ37" i="4"/>
  <c r="AK37" i="4" s="1"/>
  <c r="AI38" i="4" s="1"/>
  <c r="BI36" i="3"/>
  <c r="BB37" i="4"/>
  <c r="BC37" i="4" s="1"/>
  <c r="BA38" i="4" s="1"/>
  <c r="AW35" i="3"/>
  <c r="AM36" i="4"/>
  <c r="AN36" i="4"/>
  <c r="AL37" i="4" s="1"/>
  <c r="BM35" i="3"/>
  <c r="CC35" i="3"/>
  <c r="BA34" i="3"/>
  <c r="AV37" i="4"/>
  <c r="AW37" i="4" s="1"/>
  <c r="AU38" i="4" s="1"/>
  <c r="BE37" i="4"/>
  <c r="BF37" i="4" s="1"/>
  <c r="BD38" i="4" s="1"/>
  <c r="AS37" i="4"/>
  <c r="AT37" i="4" s="1"/>
  <c r="AR38" i="4" s="1"/>
  <c r="AP37" i="4"/>
  <c r="AQ37" i="4" s="1"/>
  <c r="AO38" i="4" s="1"/>
  <c r="CA36" i="3"/>
  <c r="CB36" i="3" s="1"/>
  <c r="BZ37" i="3"/>
  <c r="BF38" i="3"/>
  <c r="BG37" i="3"/>
  <c r="BH37" i="3" s="1"/>
  <c r="CD35" i="3"/>
  <c r="BE36" i="3"/>
  <c r="AX36" i="3"/>
  <c r="AY35" i="3"/>
  <c r="AZ35" i="3" s="1"/>
  <c r="BH37" i="4"/>
  <c r="BI37" i="4"/>
  <c r="BG38" i="4" s="1"/>
  <c r="AT37" i="3"/>
  <c r="AU36" i="3"/>
  <c r="AV36" i="3" s="1"/>
  <c r="AW36" i="3" s="1"/>
  <c r="BY35" i="3"/>
  <c r="BR37" i="3"/>
  <c r="BS36" i="3"/>
  <c r="BT36" i="3" s="1"/>
  <c r="BU36" i="3" s="1"/>
  <c r="BW36" i="3"/>
  <c r="BX36" i="3" s="1"/>
  <c r="BV37" i="3"/>
  <c r="BJ37" i="3"/>
  <c r="BK36" i="3"/>
  <c r="BL36" i="3" s="1"/>
  <c r="AS35" i="3"/>
  <c r="AP37" i="3"/>
  <c r="AQ36" i="3"/>
  <c r="AR36" i="3" s="1"/>
  <c r="AG36" i="4"/>
  <c r="AH36" i="4"/>
  <c r="AF37" i="4" s="1"/>
  <c r="W36" i="3"/>
  <c r="X36" i="3" s="1"/>
  <c r="Y36" i="3" s="1"/>
  <c r="V37" i="3"/>
  <c r="X37" i="4"/>
  <c r="Y37" i="4" s="1"/>
  <c r="W38" i="4" s="1"/>
  <c r="M35" i="3"/>
  <c r="O35" i="4"/>
  <c r="P35" i="4" s="1"/>
  <c r="N36" i="4" s="1"/>
  <c r="Q36" i="3"/>
  <c r="R38" i="4"/>
  <c r="S38" i="4" s="1"/>
  <c r="Q39" i="4" s="1"/>
  <c r="AK35" i="3"/>
  <c r="AO35" i="3"/>
  <c r="S35" i="3"/>
  <c r="T35" i="3" s="1"/>
  <c r="R36" i="3"/>
  <c r="L37" i="4"/>
  <c r="M37" i="4" s="1"/>
  <c r="K38" i="4" s="1"/>
  <c r="AI36" i="3"/>
  <c r="AJ36" i="3" s="1"/>
  <c r="AH37" i="3"/>
  <c r="O37" i="3"/>
  <c r="P37" i="3" s="1"/>
  <c r="N38" i="3"/>
  <c r="AD37" i="4"/>
  <c r="AE37" i="4" s="1"/>
  <c r="AC38" i="4" s="1"/>
  <c r="AA37" i="4"/>
  <c r="AB37" i="4" s="1"/>
  <c r="Z38" i="4" s="1"/>
  <c r="F37" i="4"/>
  <c r="G37" i="4" s="1"/>
  <c r="E38" i="4" s="1"/>
  <c r="K36" i="3"/>
  <c r="L36" i="3" s="1"/>
  <c r="J37" i="3"/>
  <c r="AL37" i="3"/>
  <c r="AM36" i="3"/>
  <c r="AN36" i="3" s="1"/>
  <c r="I37" i="4"/>
  <c r="J37" i="4" s="1"/>
  <c r="H38" i="4" s="1"/>
  <c r="E34" i="3"/>
  <c r="C36" i="4"/>
  <c r="D36" i="4" s="1"/>
  <c r="B37" i="4" s="1"/>
  <c r="CE34" i="3"/>
  <c r="C35" i="3"/>
  <c r="D35" i="3" s="1"/>
  <c r="E35" i="3" s="1"/>
  <c r="B36" i="3"/>
  <c r="G27" i="18"/>
  <c r="A28" i="18"/>
  <c r="U24" i="4"/>
  <c r="V24" i="4" s="1"/>
  <c r="T25" i="4" s="1"/>
  <c r="E13" i="14"/>
  <c r="H13" i="14" s="1"/>
  <c r="J13" i="14" s="1"/>
  <c r="L12" i="18" s="1"/>
  <c r="M12" i="18" s="1"/>
  <c r="O12" i="18" s="1"/>
  <c r="P12" i="18" s="1"/>
  <c r="Z36" i="3"/>
  <c r="AA35" i="3"/>
  <c r="AB34" i="3"/>
  <c r="CF34" i="3" s="1"/>
  <c r="AC33" i="3"/>
  <c r="CG33" i="3" s="1"/>
  <c r="CI33" i="3" s="1"/>
  <c r="CL33" i="3" s="1"/>
  <c r="CN33" i="3" s="1"/>
  <c r="F24" i="14" s="1"/>
  <c r="F13" i="2"/>
  <c r="BJ23" i="4"/>
  <c r="G14" i="14" s="1"/>
  <c r="L14" i="14" s="1"/>
  <c r="R13" i="18" s="1"/>
  <c r="S13" i="18" s="1"/>
  <c r="M14" i="14" s="1"/>
  <c r="CF33" i="3"/>
  <c r="AZ23" i="4"/>
  <c r="BO36" i="3"/>
  <c r="BN37" i="3"/>
  <c r="BP35" i="3"/>
  <c r="BQ34" i="3"/>
  <c r="B23" i="18" l="1"/>
  <c r="D22" i="18"/>
  <c r="E22" i="18" s="1"/>
  <c r="A29" i="2"/>
  <c r="A28" i="14"/>
  <c r="CH36" i="3"/>
  <c r="BL37" i="4"/>
  <c r="AG36" i="3"/>
  <c r="AE37" i="3"/>
  <c r="AF37" i="3" s="1"/>
  <c r="AD38" i="3"/>
  <c r="F37" i="3"/>
  <c r="G36" i="3"/>
  <c r="H36" i="3" s="1"/>
  <c r="I36" i="3" s="1"/>
  <c r="BB39" i="3"/>
  <c r="BC38" i="3"/>
  <c r="AS38" i="4"/>
  <c r="AT38" i="4" s="1"/>
  <c r="AR39" i="4" s="1"/>
  <c r="BM36" i="3"/>
  <c r="BI37" i="3"/>
  <c r="BY36" i="3"/>
  <c r="AV38" i="4"/>
  <c r="AW38" i="4" s="1"/>
  <c r="AU39" i="4" s="1"/>
  <c r="BB38" i="4"/>
  <c r="BC38" i="4"/>
  <c r="BA39" i="4" s="1"/>
  <c r="BA35" i="3"/>
  <c r="CC36" i="3"/>
  <c r="AP38" i="4"/>
  <c r="AQ38" i="4" s="1"/>
  <c r="AO39" i="4" s="1"/>
  <c r="AY36" i="3"/>
  <c r="AZ36" i="3" s="1"/>
  <c r="AX37" i="3"/>
  <c r="CA37" i="3"/>
  <c r="CB37" i="3" s="1"/>
  <c r="BZ38" i="3"/>
  <c r="BJ38" i="3"/>
  <c r="BK37" i="3"/>
  <c r="BL37" i="3" s="1"/>
  <c r="BG38" i="3"/>
  <c r="BH38" i="3" s="1"/>
  <c r="BF39" i="3"/>
  <c r="BV38" i="3"/>
  <c r="BW37" i="3"/>
  <c r="BX37" i="3" s="1"/>
  <c r="BD38" i="3"/>
  <c r="BE37" i="3"/>
  <c r="BE38" i="4"/>
  <c r="BF38" i="4" s="1"/>
  <c r="BD39" i="4" s="1"/>
  <c r="AU37" i="3"/>
  <c r="AV37" i="3" s="1"/>
  <c r="AT38" i="3"/>
  <c r="BR38" i="3"/>
  <c r="BS37" i="3"/>
  <c r="BT37" i="3" s="1"/>
  <c r="BH38" i="4"/>
  <c r="BI38" i="4" s="1"/>
  <c r="BG39" i="4" s="1"/>
  <c r="AM37" i="4"/>
  <c r="AN37" i="4" s="1"/>
  <c r="AL38" i="4" s="1"/>
  <c r="AJ38" i="4"/>
  <c r="AK38" i="4"/>
  <c r="AI39" i="4" s="1"/>
  <c r="AS36" i="3"/>
  <c r="AG37" i="4"/>
  <c r="AH37" i="4" s="1"/>
  <c r="AF38" i="4" s="1"/>
  <c r="AQ37" i="3"/>
  <c r="AR37" i="3" s="1"/>
  <c r="AP38" i="3"/>
  <c r="W37" i="3"/>
  <c r="X37" i="3" s="1"/>
  <c r="Y37" i="3" s="1"/>
  <c r="V38" i="3"/>
  <c r="G13" i="2"/>
  <c r="H13" i="2" s="1"/>
  <c r="J13" i="2" s="1"/>
  <c r="L13" i="2" s="1"/>
  <c r="CE35" i="3"/>
  <c r="O36" i="4"/>
  <c r="P36" i="4" s="1"/>
  <c r="N37" i="4" s="1"/>
  <c r="M36" i="3"/>
  <c r="Q37" i="3"/>
  <c r="AO36" i="3"/>
  <c r="F38" i="4"/>
  <c r="G38" i="4" s="1"/>
  <c r="E39" i="4" s="1"/>
  <c r="X38" i="4"/>
  <c r="Y38" i="4" s="1"/>
  <c r="W39" i="4" s="1"/>
  <c r="AK36" i="3"/>
  <c r="AA38" i="4"/>
  <c r="AB38" i="4"/>
  <c r="Z39" i="4" s="1"/>
  <c r="O38" i="3"/>
  <c r="P38" i="3" s="1"/>
  <c r="N39" i="3"/>
  <c r="L38" i="4"/>
  <c r="M38" i="4" s="1"/>
  <c r="K39" i="4" s="1"/>
  <c r="R39" i="4"/>
  <c r="S39" i="4" s="1"/>
  <c r="Q40" i="4" s="1"/>
  <c r="I38" i="4"/>
  <c r="J38" i="4" s="1"/>
  <c r="H39" i="4" s="1"/>
  <c r="U35" i="3"/>
  <c r="AM37" i="3"/>
  <c r="AN37" i="3" s="1"/>
  <c r="AL38" i="3"/>
  <c r="AE38" i="4"/>
  <c r="AC39" i="4" s="1"/>
  <c r="AD38" i="4"/>
  <c r="S36" i="3"/>
  <c r="T36" i="3" s="1"/>
  <c r="R37" i="3"/>
  <c r="K37" i="3"/>
  <c r="L37" i="3" s="1"/>
  <c r="J38" i="3"/>
  <c r="AH38" i="3"/>
  <c r="AI37" i="3"/>
  <c r="AJ37" i="3" s="1"/>
  <c r="C37" i="4"/>
  <c r="D37" i="4" s="1"/>
  <c r="B38" i="4" s="1"/>
  <c r="C36" i="3"/>
  <c r="D36" i="3" s="1"/>
  <c r="E36" i="3" s="1"/>
  <c r="B37" i="3"/>
  <c r="CD36" i="3"/>
  <c r="G28" i="18"/>
  <c r="A29" i="18"/>
  <c r="T13" i="18"/>
  <c r="N14" i="14" s="1"/>
  <c r="AB35" i="3"/>
  <c r="CF35" i="3" s="1"/>
  <c r="AC34" i="3"/>
  <c r="CG34" i="3" s="1"/>
  <c r="CI34" i="3" s="1"/>
  <c r="CL34" i="3" s="1"/>
  <c r="CN34" i="3" s="1"/>
  <c r="F25" i="14" s="1"/>
  <c r="AA36" i="3"/>
  <c r="Z37" i="3"/>
  <c r="U25" i="4"/>
  <c r="V25" i="4" s="1"/>
  <c r="T26" i="4" s="1"/>
  <c r="BP36" i="3"/>
  <c r="BQ35" i="3"/>
  <c r="AX24" i="4"/>
  <c r="BK23" i="4"/>
  <c r="BM23" i="4" s="1"/>
  <c r="BO23" i="4" s="1"/>
  <c r="BO37" i="3"/>
  <c r="BN38" i="3"/>
  <c r="B24" i="18" l="1"/>
  <c r="D23" i="18"/>
  <c r="E23" i="18" s="1"/>
  <c r="A29" i="14"/>
  <c r="A30" i="2"/>
  <c r="BL38" i="4"/>
  <c r="CH37" i="3"/>
  <c r="AG37" i="3"/>
  <c r="CD37" i="3"/>
  <c r="G37" i="3"/>
  <c r="H37" i="3" s="1"/>
  <c r="I37" i="3" s="1"/>
  <c r="F38" i="3"/>
  <c r="AD39" i="3"/>
  <c r="AE38" i="3"/>
  <c r="AF38" i="3" s="1"/>
  <c r="BB40" i="3"/>
  <c r="BC40" i="3" s="1"/>
  <c r="BC39" i="3"/>
  <c r="AM38" i="4"/>
  <c r="AN38" i="4" s="1"/>
  <c r="AL39" i="4" s="1"/>
  <c r="BY37" i="3"/>
  <c r="AV39" i="4"/>
  <c r="AW39" i="4" s="1"/>
  <c r="AU40" i="4" s="1"/>
  <c r="BH39" i="4"/>
  <c r="BI39" i="4" s="1"/>
  <c r="BG40" i="4" s="1"/>
  <c r="BA36" i="3"/>
  <c r="AP39" i="4"/>
  <c r="AQ39" i="4" s="1"/>
  <c r="AO40" i="4" s="1"/>
  <c r="BI38" i="3"/>
  <c r="AW37" i="3"/>
  <c r="BM37" i="3"/>
  <c r="BE39" i="4"/>
  <c r="BF39" i="4" s="1"/>
  <c r="BD40" i="4" s="1"/>
  <c r="CB38" i="3"/>
  <c r="BG39" i="3"/>
  <c r="BH39" i="3" s="1"/>
  <c r="BF40" i="3"/>
  <c r="BZ39" i="3"/>
  <c r="CA38" i="3"/>
  <c r="AY37" i="3"/>
  <c r="AZ37" i="3" s="1"/>
  <c r="AX38" i="3"/>
  <c r="BB39" i="4"/>
  <c r="BC39" i="4" s="1"/>
  <c r="BA40" i="4" s="1"/>
  <c r="AU38" i="3"/>
  <c r="AV38" i="3" s="1"/>
  <c r="AT39" i="3"/>
  <c r="BV39" i="3"/>
  <c r="BW38" i="3"/>
  <c r="BX38" i="3" s="1"/>
  <c r="AJ39" i="4"/>
  <c r="AK39" i="4" s="1"/>
  <c r="AI40" i="4" s="1"/>
  <c r="BS38" i="3"/>
  <c r="BT38" i="3" s="1"/>
  <c r="BR39" i="3"/>
  <c r="BD39" i="3"/>
  <c r="BE38" i="3"/>
  <c r="AS39" i="4"/>
  <c r="AT39" i="4" s="1"/>
  <c r="AR40" i="4" s="1"/>
  <c r="CC37" i="3"/>
  <c r="BU37" i="3"/>
  <c r="BJ39" i="3"/>
  <c r="BK38" i="3"/>
  <c r="BL38" i="3" s="1"/>
  <c r="AS37" i="3"/>
  <c r="AG38" i="4"/>
  <c r="AH38" i="4" s="1"/>
  <c r="AF39" i="4" s="1"/>
  <c r="AQ38" i="3"/>
  <c r="AR38" i="3" s="1"/>
  <c r="AP39" i="3"/>
  <c r="W38" i="3"/>
  <c r="X38" i="3" s="1"/>
  <c r="Y38" i="3" s="1"/>
  <c r="V39" i="3"/>
  <c r="CE36" i="3"/>
  <c r="F39" i="4"/>
  <c r="G39" i="4" s="1"/>
  <c r="E40" i="4" s="1"/>
  <c r="Q38" i="3"/>
  <c r="AO37" i="3"/>
  <c r="L39" i="4"/>
  <c r="M39" i="4" s="1"/>
  <c r="K40" i="4" s="1"/>
  <c r="AK37" i="3"/>
  <c r="U36" i="3"/>
  <c r="M37" i="3"/>
  <c r="O37" i="4"/>
  <c r="P37" i="4" s="1"/>
  <c r="N38" i="4" s="1"/>
  <c r="I39" i="4"/>
  <c r="J39" i="4"/>
  <c r="H40" i="4" s="1"/>
  <c r="AA39" i="4"/>
  <c r="AB39" i="4" s="1"/>
  <c r="Z40" i="4" s="1"/>
  <c r="N40" i="3"/>
  <c r="O39" i="3"/>
  <c r="P39" i="3" s="1"/>
  <c r="K38" i="3"/>
  <c r="L38" i="3" s="1"/>
  <c r="J39" i="3"/>
  <c r="R40" i="4"/>
  <c r="S40" i="4" s="1"/>
  <c r="R38" i="3"/>
  <c r="S37" i="3"/>
  <c r="T37" i="3" s="1"/>
  <c r="X39" i="4"/>
  <c r="Y39" i="4" s="1"/>
  <c r="W40" i="4" s="1"/>
  <c r="AH39" i="3"/>
  <c r="AI38" i="3"/>
  <c r="AJ38" i="3" s="1"/>
  <c r="AD39" i="4"/>
  <c r="AE39" i="4" s="1"/>
  <c r="AC40" i="4" s="1"/>
  <c r="AL39" i="3"/>
  <c r="AM38" i="3"/>
  <c r="AN38" i="3" s="1"/>
  <c r="B38" i="3"/>
  <c r="C37" i="3"/>
  <c r="D37" i="3" s="1"/>
  <c r="E37" i="3" s="1"/>
  <c r="C38" i="4"/>
  <c r="D38" i="4" s="1"/>
  <c r="B39" i="4" s="1"/>
  <c r="A30" i="18"/>
  <c r="G30" i="18" s="1"/>
  <c r="G29" i="18"/>
  <c r="U26" i="4"/>
  <c r="V26" i="4" s="1"/>
  <c r="T27" i="4" s="1"/>
  <c r="AA37" i="3"/>
  <c r="Z38" i="3"/>
  <c r="AB36" i="3"/>
  <c r="AC35" i="3"/>
  <c r="CG35" i="3" s="1"/>
  <c r="CI35" i="3" s="1"/>
  <c r="CL35" i="3" s="1"/>
  <c r="CN35" i="3" s="1"/>
  <c r="F26" i="14" s="1"/>
  <c r="F14" i="2"/>
  <c r="K13" i="18"/>
  <c r="E14" i="14"/>
  <c r="H14" i="14" s="1"/>
  <c r="J14" i="14" s="1"/>
  <c r="AY24" i="4"/>
  <c r="BJ24" i="4" s="1"/>
  <c r="G15" i="14" s="1"/>
  <c r="L15" i="14" s="1"/>
  <c r="R14" i="18" s="1"/>
  <c r="S14" i="18" s="1"/>
  <c r="BN39" i="3"/>
  <c r="BO38" i="3"/>
  <c r="BP37" i="3"/>
  <c r="BQ36" i="3"/>
  <c r="D24" i="18" l="1"/>
  <c r="E24" i="18" s="1"/>
  <c r="B25" i="18"/>
  <c r="A31" i="2"/>
  <c r="A31" i="14" s="1"/>
  <c r="A30" i="14"/>
  <c r="BL39" i="4"/>
  <c r="CH38" i="3"/>
  <c r="AG38" i="3"/>
  <c r="AE39" i="3"/>
  <c r="AF39" i="3" s="1"/>
  <c r="AD40" i="3"/>
  <c r="AE40" i="3" s="1"/>
  <c r="G38" i="3"/>
  <c r="H38" i="3" s="1"/>
  <c r="I38" i="3" s="1"/>
  <c r="F39" i="3"/>
  <c r="BI39" i="3"/>
  <c r="BY38" i="3"/>
  <c r="BB40" i="4"/>
  <c r="BC40" i="4" s="1"/>
  <c r="BE40" i="4"/>
  <c r="BF40" i="4"/>
  <c r="AV40" i="4"/>
  <c r="AW40" i="4" s="1"/>
  <c r="AP40" i="4"/>
  <c r="AQ40" i="4"/>
  <c r="BU38" i="3"/>
  <c r="BA37" i="3"/>
  <c r="BM38" i="3"/>
  <c r="AJ40" i="4"/>
  <c r="AK40" i="4" s="1"/>
  <c r="AM39" i="4"/>
  <c r="AN39" i="4" s="1"/>
  <c r="AL40" i="4" s="1"/>
  <c r="AS40" i="4"/>
  <c r="AT40" i="4" s="1"/>
  <c r="BG40" i="3"/>
  <c r="BH40" i="3" s="1"/>
  <c r="BI40" i="3" s="1"/>
  <c r="AX39" i="3"/>
  <c r="AY38" i="3"/>
  <c r="AZ38" i="3" s="1"/>
  <c r="BD40" i="3"/>
  <c r="BE40" i="3" s="1"/>
  <c r="BE39" i="3"/>
  <c r="BV40" i="3"/>
  <c r="BW39" i="3"/>
  <c r="BX39" i="3" s="1"/>
  <c r="AW38" i="3"/>
  <c r="BK39" i="3"/>
  <c r="BL39" i="3" s="1"/>
  <c r="BJ40" i="3"/>
  <c r="BR40" i="3"/>
  <c r="BS39" i="3"/>
  <c r="BT39" i="3" s="1"/>
  <c r="AU39" i="3"/>
  <c r="AV39" i="3" s="1"/>
  <c r="AT40" i="3"/>
  <c r="CC38" i="3"/>
  <c r="BH40" i="4"/>
  <c r="BI40" i="4" s="1"/>
  <c r="BZ40" i="3"/>
  <c r="CA39" i="3"/>
  <c r="CB39" i="3" s="1"/>
  <c r="AS38" i="3"/>
  <c r="AG39" i="4"/>
  <c r="AH39" i="4" s="1"/>
  <c r="AF40" i="4" s="1"/>
  <c r="AP40" i="3"/>
  <c r="AQ39" i="3"/>
  <c r="AR39" i="3" s="1"/>
  <c r="V40" i="3"/>
  <c r="W40" i="3" s="1"/>
  <c r="W39" i="3"/>
  <c r="X39" i="3" s="1"/>
  <c r="X40" i="4"/>
  <c r="Y40" i="4" s="1"/>
  <c r="L40" i="4"/>
  <c r="M40" i="4" s="1"/>
  <c r="AK38" i="3"/>
  <c r="M38" i="3"/>
  <c r="U37" i="3"/>
  <c r="AO38" i="3"/>
  <c r="Q39" i="3"/>
  <c r="S38" i="3"/>
  <c r="T38" i="3" s="1"/>
  <c r="R39" i="3"/>
  <c r="O40" i="3"/>
  <c r="P40" i="3" s="1"/>
  <c r="Q40" i="3" s="1"/>
  <c r="AA40" i="4"/>
  <c r="AB40" i="4"/>
  <c r="AL40" i="3"/>
  <c r="AM39" i="3"/>
  <c r="AN39" i="3" s="1"/>
  <c r="AD40" i="4"/>
  <c r="AE40" i="4" s="1"/>
  <c r="AI39" i="3"/>
  <c r="AJ39" i="3" s="1"/>
  <c r="AH40" i="3"/>
  <c r="I40" i="4"/>
  <c r="J40" i="4" s="1"/>
  <c r="CD38" i="3"/>
  <c r="J40" i="3"/>
  <c r="K39" i="3"/>
  <c r="L39" i="3" s="1"/>
  <c r="O38" i="4"/>
  <c r="P38" i="4" s="1"/>
  <c r="N39" i="4" s="1"/>
  <c r="F40" i="4"/>
  <c r="G40" i="4" s="1"/>
  <c r="C39" i="4"/>
  <c r="D39" i="4" s="1"/>
  <c r="B40" i="4" s="1"/>
  <c r="CE37" i="3"/>
  <c r="B39" i="3"/>
  <c r="C38" i="3"/>
  <c r="D38" i="3" s="1"/>
  <c r="AB37" i="3"/>
  <c r="CF37" i="3" s="1"/>
  <c r="AC36" i="3"/>
  <c r="CG36" i="3" s="1"/>
  <c r="CI36" i="3" s="1"/>
  <c r="CL36" i="3" s="1"/>
  <c r="CN36" i="3" s="1"/>
  <c r="F27" i="14" s="1"/>
  <c r="Z39" i="3"/>
  <c r="AA38" i="3"/>
  <c r="CF36" i="3"/>
  <c r="U27" i="4"/>
  <c r="V27" i="4" s="1"/>
  <c r="T28" i="4" s="1"/>
  <c r="BN40" i="3"/>
  <c r="BO39" i="3"/>
  <c r="M15" i="14"/>
  <c r="T14" i="18"/>
  <c r="N15" i="14" s="1"/>
  <c r="AZ24" i="4"/>
  <c r="L13" i="18"/>
  <c r="M13" i="18" s="1"/>
  <c r="O13" i="18" s="1"/>
  <c r="P13" i="18" s="1"/>
  <c r="G14" i="2"/>
  <c r="H14" i="2" s="1"/>
  <c r="J14" i="2" s="1"/>
  <c r="L14" i="2" s="1"/>
  <c r="BP38" i="3"/>
  <c r="BQ37" i="3"/>
  <c r="B26" i="18" l="1"/>
  <c r="D25" i="18"/>
  <c r="E25" i="18" s="1"/>
  <c r="X40" i="3"/>
  <c r="Y40" i="3" s="1"/>
  <c r="CH39" i="3"/>
  <c r="BL40" i="4"/>
  <c r="CH40" i="3" s="1"/>
  <c r="AF40" i="3"/>
  <c r="AG40" i="3" s="1"/>
  <c r="AG39" i="3"/>
  <c r="F40" i="3"/>
  <c r="G40" i="3" s="1"/>
  <c r="G39" i="3"/>
  <c r="H39" i="3" s="1"/>
  <c r="I39" i="3" s="1"/>
  <c r="Y39" i="3"/>
  <c r="AM40" i="4"/>
  <c r="AN40" i="4" s="1"/>
  <c r="BY39" i="3"/>
  <c r="AW39" i="3"/>
  <c r="BU39" i="3"/>
  <c r="CC39" i="3"/>
  <c r="BL40" i="3"/>
  <c r="BM40" i="3" s="1"/>
  <c r="BM39" i="3"/>
  <c r="AU40" i="3"/>
  <c r="AV40" i="3" s="1"/>
  <c r="AW40" i="3" s="1"/>
  <c r="BA38" i="3"/>
  <c r="BK40" i="3"/>
  <c r="AY39" i="3"/>
  <c r="AZ39" i="3" s="1"/>
  <c r="AX40" i="3"/>
  <c r="CA40" i="3"/>
  <c r="CB40" i="3" s="1"/>
  <c r="CC40" i="3" s="1"/>
  <c r="BW40" i="3"/>
  <c r="BX40" i="3" s="1"/>
  <c r="BY40" i="3" s="1"/>
  <c r="BS40" i="3"/>
  <c r="BT40" i="3" s="1"/>
  <c r="BU40" i="3" s="1"/>
  <c r="AS39" i="3"/>
  <c r="AG40" i="4"/>
  <c r="AH40" i="4" s="1"/>
  <c r="AQ40" i="3"/>
  <c r="AR40" i="3" s="1"/>
  <c r="AS40" i="3" s="1"/>
  <c r="AO39" i="3"/>
  <c r="AK39" i="3"/>
  <c r="O39" i="4"/>
  <c r="P39" i="4" s="1"/>
  <c r="N40" i="4" s="1"/>
  <c r="U38" i="3"/>
  <c r="M39" i="3"/>
  <c r="AM40" i="3"/>
  <c r="AN40" i="3" s="1"/>
  <c r="AO40" i="3" s="1"/>
  <c r="AI40" i="3"/>
  <c r="AJ40" i="3" s="1"/>
  <c r="AK40" i="3" s="1"/>
  <c r="K40" i="3"/>
  <c r="L40" i="3" s="1"/>
  <c r="M40" i="3" s="1"/>
  <c r="S39" i="3"/>
  <c r="T39" i="3" s="1"/>
  <c r="U39" i="3" s="1"/>
  <c r="R40" i="3"/>
  <c r="C40" i="4"/>
  <c r="D40" i="4" s="1"/>
  <c r="E38" i="3"/>
  <c r="B40" i="3"/>
  <c r="C39" i="3"/>
  <c r="D39" i="3" s="1"/>
  <c r="CE38" i="3"/>
  <c r="CD39" i="3"/>
  <c r="U28" i="4"/>
  <c r="V28" i="4" s="1"/>
  <c r="T29" i="4" s="1"/>
  <c r="Z40" i="3"/>
  <c r="AA39" i="3"/>
  <c r="AB38" i="3"/>
  <c r="CF38" i="3" s="1"/>
  <c r="AC37" i="3"/>
  <c r="CG37" i="3" s="1"/>
  <c r="CI37" i="3" s="1"/>
  <c r="CL37" i="3" s="1"/>
  <c r="CN37" i="3" s="1"/>
  <c r="F28" i="14" s="1"/>
  <c r="BK24" i="4"/>
  <c r="BM24" i="4" s="1"/>
  <c r="BO24" i="4" s="1"/>
  <c r="AX25" i="4"/>
  <c r="BO40" i="3"/>
  <c r="BP39" i="3"/>
  <c r="BQ38" i="3"/>
  <c r="D26" i="18" l="1"/>
  <c r="E26" i="18" s="1"/>
  <c r="B27" i="18"/>
  <c r="H40" i="3"/>
  <c r="I40" i="3" s="1"/>
  <c r="BA39" i="3"/>
  <c r="AY40" i="3"/>
  <c r="AZ40" i="3" s="1"/>
  <c r="BA40" i="3" s="1"/>
  <c r="O40" i="4"/>
  <c r="P40" i="4" s="1"/>
  <c r="S40" i="3"/>
  <c r="T40" i="3" s="1"/>
  <c r="U40" i="3" s="1"/>
  <c r="E39" i="3"/>
  <c r="C40" i="3"/>
  <c r="D40" i="3" s="1"/>
  <c r="E40" i="3" s="1"/>
  <c r="CE39" i="3"/>
  <c r="CD40" i="3"/>
  <c r="U29" i="4"/>
  <c r="V29" i="4" s="1"/>
  <c r="T30" i="4" s="1"/>
  <c r="AA40" i="3"/>
  <c r="AB39" i="3"/>
  <c r="AC38" i="3"/>
  <c r="CG38" i="3" s="1"/>
  <c r="CI38" i="3" s="1"/>
  <c r="CL38" i="3" s="1"/>
  <c r="CN38" i="3" s="1"/>
  <c r="F29" i="14" s="1"/>
  <c r="BP40" i="3"/>
  <c r="BQ39" i="3"/>
  <c r="AY25" i="4"/>
  <c r="BJ25" i="4" s="1"/>
  <c r="G16" i="14" s="1"/>
  <c r="L16" i="14" s="1"/>
  <c r="R15" i="18" s="1"/>
  <c r="S15" i="18" s="1"/>
  <c r="E15" i="14"/>
  <c r="H15" i="14" s="1"/>
  <c r="J15" i="14" s="1"/>
  <c r="F15" i="2"/>
  <c r="K14" i="18"/>
  <c r="B28" i="18" l="1"/>
  <c r="D27" i="18"/>
  <c r="E27" i="18" s="1"/>
  <c r="CE40" i="3"/>
  <c r="U30" i="4"/>
  <c r="V30" i="4" s="1"/>
  <c r="T31" i="4" s="1"/>
  <c r="AB40" i="3"/>
  <c r="AC40" i="3" s="1"/>
  <c r="AC39" i="3"/>
  <c r="CG39" i="3" s="1"/>
  <c r="CI39" i="3" s="1"/>
  <c r="CL39" i="3" s="1"/>
  <c r="CN39" i="3" s="1"/>
  <c r="F30" i="14" s="1"/>
  <c r="CF39" i="3"/>
  <c r="L14" i="18"/>
  <c r="M14" i="18" s="1"/>
  <c r="O14" i="18" s="1"/>
  <c r="P14" i="18" s="1"/>
  <c r="G15" i="2"/>
  <c r="H15" i="2" s="1"/>
  <c r="J15" i="2" s="1"/>
  <c r="L15" i="2" s="1"/>
  <c r="AZ25" i="4"/>
  <c r="M16" i="14"/>
  <c r="T15" i="18"/>
  <c r="N16" i="14" s="1"/>
  <c r="BQ40" i="3"/>
  <c r="B29" i="18" l="1"/>
  <c r="D28" i="18"/>
  <c r="E28" i="18" s="1"/>
  <c r="CG40" i="3"/>
  <c r="CI40" i="3" s="1"/>
  <c r="CL40" i="3" s="1"/>
  <c r="CN40" i="3" s="1"/>
  <c r="F31" i="14" s="1"/>
  <c r="CF40" i="3"/>
  <c r="U31" i="4"/>
  <c r="V31" i="4" s="1"/>
  <c r="T32" i="4" s="1"/>
  <c r="BK25" i="4"/>
  <c r="BM25" i="4" s="1"/>
  <c r="BO25" i="4" s="1"/>
  <c r="AX26" i="4"/>
  <c r="B30" i="18" l="1"/>
  <c r="D30" i="18" s="1"/>
  <c r="D29" i="18"/>
  <c r="E29" i="18" s="1"/>
  <c r="U32" i="4"/>
  <c r="V32" i="4" s="1"/>
  <c r="T33" i="4" s="1"/>
  <c r="F16" i="2"/>
  <c r="E16" i="14"/>
  <c r="H16" i="14" s="1"/>
  <c r="J16" i="14" s="1"/>
  <c r="K15" i="18"/>
  <c r="AY26" i="4"/>
  <c r="BJ26" i="4" s="1"/>
  <c r="G17" i="14" s="1"/>
  <c r="L17" i="14" s="1"/>
  <c r="R16" i="18" s="1"/>
  <c r="S16" i="18" s="1"/>
  <c r="E30" i="18" l="1"/>
  <c r="AZ26" i="4"/>
  <c r="AX27" i="4" s="1"/>
  <c r="U33" i="4"/>
  <c r="V33" i="4" s="1"/>
  <c r="T34" i="4" s="1"/>
  <c r="L15" i="18"/>
  <c r="M15" i="18" s="1"/>
  <c r="O15" i="18" s="1"/>
  <c r="P15" i="18" s="1"/>
  <c r="G16" i="2"/>
  <c r="H16" i="2" s="1"/>
  <c r="J16" i="2" s="1"/>
  <c r="L16" i="2" s="1"/>
  <c r="M17" i="14"/>
  <c r="T16" i="18"/>
  <c r="N17" i="14" s="1"/>
  <c r="BK26" i="4" l="1"/>
  <c r="BM26" i="4" s="1"/>
  <c r="BO26" i="4" s="1"/>
  <c r="F17" i="2" s="1"/>
  <c r="U34" i="4"/>
  <c r="V34" i="4" s="1"/>
  <c r="T35" i="4" s="1"/>
  <c r="AY27" i="4"/>
  <c r="BJ27" i="4" s="1"/>
  <c r="G18" i="14" s="1"/>
  <c r="L18" i="14" s="1"/>
  <c r="R17" i="18" s="1"/>
  <c r="S17" i="18" s="1"/>
  <c r="E17" i="14" l="1"/>
  <c r="H17" i="14" s="1"/>
  <c r="J17" i="14" s="1"/>
  <c r="G17" i="2" s="1"/>
  <c r="H17" i="2" s="1"/>
  <c r="J17" i="2" s="1"/>
  <c r="L17" i="2" s="1"/>
  <c r="K16" i="18"/>
  <c r="U35" i="4"/>
  <c r="V35" i="4" s="1"/>
  <c r="T36" i="4" s="1"/>
  <c r="M18" i="14"/>
  <c r="T17" i="18"/>
  <c r="N18" i="14" s="1"/>
  <c r="AZ27" i="4"/>
  <c r="L16" i="18" l="1"/>
  <c r="M16" i="18" s="1"/>
  <c r="O16" i="18" s="1"/>
  <c r="P16" i="18" s="1"/>
  <c r="U36" i="4"/>
  <c r="V36" i="4" s="1"/>
  <c r="T37" i="4" s="1"/>
  <c r="BK27" i="4"/>
  <c r="BM27" i="4" s="1"/>
  <c r="BO27" i="4" s="1"/>
  <c r="AX28" i="4"/>
  <c r="U37" i="4" l="1"/>
  <c r="V37" i="4" s="1"/>
  <c r="T38" i="4" s="1"/>
  <c r="AY28" i="4"/>
  <c r="BJ28" i="4" s="1"/>
  <c r="G19" i="14" s="1"/>
  <c r="L19" i="14" s="1"/>
  <c r="R18" i="18" s="1"/>
  <c r="S18" i="18" s="1"/>
  <c r="E18" i="14"/>
  <c r="H18" i="14" s="1"/>
  <c r="J18" i="14" s="1"/>
  <c r="K17" i="18"/>
  <c r="F18" i="2"/>
  <c r="U38" i="4" l="1"/>
  <c r="V38" i="4" s="1"/>
  <c r="T39" i="4" s="1"/>
  <c r="T18" i="18"/>
  <c r="N19" i="14" s="1"/>
  <c r="M19" i="14"/>
  <c r="L17" i="18"/>
  <c r="M17" i="18" s="1"/>
  <c r="O17" i="18" s="1"/>
  <c r="P17" i="18" s="1"/>
  <c r="G18" i="2"/>
  <c r="H18" i="2" s="1"/>
  <c r="J18" i="2" s="1"/>
  <c r="L18" i="2" s="1"/>
  <c r="AZ28" i="4"/>
  <c r="U39" i="4" l="1"/>
  <c r="V39" i="4" s="1"/>
  <c r="T40" i="4" s="1"/>
  <c r="AX29" i="4"/>
  <c r="BK28" i="4"/>
  <c r="BM28" i="4" s="1"/>
  <c r="BO28" i="4" s="1"/>
  <c r="U40" i="4" l="1"/>
  <c r="V40" i="4" s="1"/>
  <c r="AY29" i="4"/>
  <c r="BJ29" i="4" s="1"/>
  <c r="G20" i="14" s="1"/>
  <c r="L20" i="14" s="1"/>
  <c r="R19" i="18" s="1"/>
  <c r="S19" i="18" s="1"/>
  <c r="K18" i="18"/>
  <c r="F19" i="2"/>
  <c r="E19" i="14"/>
  <c r="H19" i="14" s="1"/>
  <c r="J19" i="14" s="1"/>
  <c r="L18" i="18" l="1"/>
  <c r="M18" i="18" s="1"/>
  <c r="O18" i="18" s="1"/>
  <c r="P18" i="18" s="1"/>
  <c r="G19" i="2"/>
  <c r="H19" i="2" s="1"/>
  <c r="J19" i="2" s="1"/>
  <c r="L19" i="2" s="1"/>
  <c r="M20" i="14"/>
  <c r="T19" i="18"/>
  <c r="N20" i="14" s="1"/>
  <c r="AZ29" i="4"/>
  <c r="BK29" i="4" l="1"/>
  <c r="BM29" i="4" s="1"/>
  <c r="BO29" i="4" s="1"/>
  <c r="AX30" i="4"/>
  <c r="AY30" i="4" l="1"/>
  <c r="BJ30" i="4" s="1"/>
  <c r="G21" i="14" s="1"/>
  <c r="L21" i="14" s="1"/>
  <c r="R20" i="18" s="1"/>
  <c r="S20" i="18" s="1"/>
  <c r="K19" i="18"/>
  <c r="F20" i="2"/>
  <c r="E20" i="14"/>
  <c r="H20" i="14" s="1"/>
  <c r="J20" i="14" s="1"/>
  <c r="AZ30" i="4" l="1"/>
  <c r="AX31" i="4" s="1"/>
  <c r="G20" i="2"/>
  <c r="H20" i="2" s="1"/>
  <c r="J20" i="2" s="1"/>
  <c r="L20" i="2" s="1"/>
  <c r="L19" i="18"/>
  <c r="M19" i="18" s="1"/>
  <c r="O19" i="18" s="1"/>
  <c r="P19" i="18" s="1"/>
  <c r="T20" i="18"/>
  <c r="N21" i="14" s="1"/>
  <c r="M21" i="14"/>
  <c r="BK30" i="4" l="1"/>
  <c r="BM30" i="4" s="1"/>
  <c r="BO30" i="4" s="1"/>
  <c r="K20" i="18" s="1"/>
  <c r="AY31" i="4"/>
  <c r="BJ31" i="4" s="1"/>
  <c r="G22" i="14" s="1"/>
  <c r="L22" i="14" s="1"/>
  <c r="R21" i="18" s="1"/>
  <c r="S21" i="18" s="1"/>
  <c r="F21" i="2" l="1"/>
  <c r="E21" i="14"/>
  <c r="H21" i="14" s="1"/>
  <c r="J21" i="14" s="1"/>
  <c r="L20" i="18" s="1"/>
  <c r="M20" i="18" s="1"/>
  <c r="O20" i="18" s="1"/>
  <c r="P20" i="18" s="1"/>
  <c r="AZ31" i="4"/>
  <c r="AX32" i="4" s="1"/>
  <c r="M22" i="14"/>
  <c r="T21" i="18"/>
  <c r="N22" i="14" s="1"/>
  <c r="G21" i="2" l="1"/>
  <c r="H21" i="2" s="1"/>
  <c r="J21" i="2" s="1"/>
  <c r="L21" i="2" s="1"/>
  <c r="BK31" i="4"/>
  <c r="BM31" i="4" s="1"/>
  <c r="BO31" i="4" s="1"/>
  <c r="K21" i="18" s="1"/>
  <c r="AY32" i="4"/>
  <c r="BJ32" i="4" s="1"/>
  <c r="G23" i="14" s="1"/>
  <c r="L23" i="14" s="1"/>
  <c r="R22" i="18" s="1"/>
  <c r="S22" i="18" s="1"/>
  <c r="F22" i="2" l="1"/>
  <c r="E22" i="14"/>
  <c r="H22" i="14" s="1"/>
  <c r="J22" i="14" s="1"/>
  <c r="L21" i="18" s="1"/>
  <c r="M21" i="18" s="1"/>
  <c r="O21" i="18" s="1"/>
  <c r="P21" i="18" s="1"/>
  <c r="AZ32" i="4"/>
  <c r="M23" i="14"/>
  <c r="T22" i="18"/>
  <c r="N23" i="14" s="1"/>
  <c r="G22" i="2" l="1"/>
  <c r="H22" i="2" s="1"/>
  <c r="J22" i="2" s="1"/>
  <c r="L22" i="2" s="1"/>
  <c r="BK32" i="4"/>
  <c r="BM32" i="4" s="1"/>
  <c r="BO32" i="4" s="1"/>
  <c r="AX33" i="4"/>
  <c r="AY33" i="4" l="1"/>
  <c r="BJ33" i="4" s="1"/>
  <c r="G24" i="14" s="1"/>
  <c r="L24" i="14" s="1"/>
  <c r="R23" i="18" s="1"/>
  <c r="S23" i="18" s="1"/>
  <c r="E23" i="14"/>
  <c r="H23" i="14" s="1"/>
  <c r="J23" i="14" s="1"/>
  <c r="K22" i="18"/>
  <c r="F23" i="2"/>
  <c r="G23" i="2" l="1"/>
  <c r="H23" i="2" s="1"/>
  <c r="J23" i="2" s="1"/>
  <c r="L23" i="2" s="1"/>
  <c r="L22" i="18"/>
  <c r="M22" i="18" s="1"/>
  <c r="O22" i="18" s="1"/>
  <c r="P22" i="18" s="1"/>
  <c r="AZ33" i="4"/>
  <c r="M24" i="14"/>
  <c r="T23" i="18"/>
  <c r="N24" i="14" s="1"/>
  <c r="AX34" i="4" l="1"/>
  <c r="BK33" i="4"/>
  <c r="BM33" i="4" s="1"/>
  <c r="BO33" i="4" s="1"/>
  <c r="AY34" i="4" l="1"/>
  <c r="BJ34" i="4" s="1"/>
  <c r="G25" i="14" s="1"/>
  <c r="L25" i="14" s="1"/>
  <c r="R24" i="18" s="1"/>
  <c r="S24" i="18" s="1"/>
  <c r="E24" i="14"/>
  <c r="H24" i="14" s="1"/>
  <c r="J24" i="14" s="1"/>
  <c r="K23" i="18"/>
  <c r="F24" i="2"/>
  <c r="L23" i="18" l="1"/>
  <c r="M23" i="18" s="1"/>
  <c r="O23" i="18" s="1"/>
  <c r="P23" i="18" s="1"/>
  <c r="G24" i="2"/>
  <c r="H24" i="2" s="1"/>
  <c r="J24" i="2" s="1"/>
  <c r="L24" i="2" s="1"/>
  <c r="AZ34" i="4"/>
  <c r="T24" i="18"/>
  <c r="N25" i="14" s="1"/>
  <c r="M25" i="14"/>
  <c r="AX35" i="4" l="1"/>
  <c r="BK34" i="4"/>
  <c r="BM34" i="4" s="1"/>
  <c r="BO34" i="4" s="1"/>
  <c r="AY35" i="4" l="1"/>
  <c r="BJ35" i="4" s="1"/>
  <c r="G26" i="14" s="1"/>
  <c r="L26" i="14" s="1"/>
  <c r="R25" i="18" s="1"/>
  <c r="S25" i="18" s="1"/>
  <c r="K24" i="18"/>
  <c r="E25" i="14"/>
  <c r="H25" i="14" s="1"/>
  <c r="J25" i="14" s="1"/>
  <c r="F25" i="2"/>
  <c r="G25" i="2" l="1"/>
  <c r="H25" i="2" s="1"/>
  <c r="J25" i="2" s="1"/>
  <c r="L25" i="2" s="1"/>
  <c r="L24" i="18"/>
  <c r="M24" i="18" s="1"/>
  <c r="O24" i="18" s="1"/>
  <c r="P24" i="18" s="1"/>
  <c r="AZ35" i="4"/>
  <c r="M26" i="14"/>
  <c r="T25" i="18"/>
  <c r="N26" i="14" s="1"/>
  <c r="BK35" i="4" l="1"/>
  <c r="BM35" i="4" s="1"/>
  <c r="BO35" i="4" s="1"/>
  <c r="AX36" i="4"/>
  <c r="AY36" i="4" l="1"/>
  <c r="BJ36" i="4" s="1"/>
  <c r="G27" i="14" s="1"/>
  <c r="L27" i="14" s="1"/>
  <c r="R26" i="18" s="1"/>
  <c r="S26" i="18" s="1"/>
  <c r="K25" i="18"/>
  <c r="E26" i="14"/>
  <c r="H26" i="14" s="1"/>
  <c r="J26" i="14" s="1"/>
  <c r="F26" i="2"/>
  <c r="G26" i="2" l="1"/>
  <c r="H26" i="2" s="1"/>
  <c r="J26" i="2" s="1"/>
  <c r="L26" i="2" s="1"/>
  <c r="L25" i="18"/>
  <c r="M25" i="18" s="1"/>
  <c r="O25" i="18" s="1"/>
  <c r="P25" i="18" s="1"/>
  <c r="T26" i="18"/>
  <c r="N27" i="14" s="1"/>
  <c r="M27" i="14"/>
  <c r="AZ36" i="4"/>
  <c r="AX37" i="4" l="1"/>
  <c r="BK36" i="4"/>
  <c r="BM36" i="4" s="1"/>
  <c r="BO36" i="4" s="1"/>
  <c r="F27" i="2" l="1"/>
  <c r="K26" i="18"/>
  <c r="E27" i="14"/>
  <c r="H27" i="14" s="1"/>
  <c r="J27" i="14" s="1"/>
  <c r="AY37" i="4"/>
  <c r="BJ37" i="4" s="1"/>
  <c r="G28" i="14" s="1"/>
  <c r="L28" i="14" s="1"/>
  <c r="R27" i="18" s="1"/>
  <c r="S27" i="18" s="1"/>
  <c r="AZ37" i="4" l="1"/>
  <c r="AX38" i="4" s="1"/>
  <c r="G27" i="2"/>
  <c r="H27" i="2" s="1"/>
  <c r="J27" i="2" s="1"/>
  <c r="L27" i="2" s="1"/>
  <c r="L26" i="18"/>
  <c r="M26" i="18" s="1"/>
  <c r="O26" i="18" s="1"/>
  <c r="P26" i="18" s="1"/>
  <c r="T27" i="18"/>
  <c r="N28" i="14" s="1"/>
  <c r="M28" i="14"/>
  <c r="BK37" i="4" l="1"/>
  <c r="BM37" i="4" s="1"/>
  <c r="BO37" i="4" s="1"/>
  <c r="F28" i="2" s="1"/>
  <c r="AY38" i="4"/>
  <c r="BJ38" i="4" s="1"/>
  <c r="G29" i="14" s="1"/>
  <c r="L29" i="14" s="1"/>
  <c r="R28" i="18" s="1"/>
  <c r="S28" i="18" s="1"/>
  <c r="K27" i="18" l="1"/>
  <c r="E28" i="14"/>
  <c r="H28" i="14" s="1"/>
  <c r="J28" i="14" s="1"/>
  <c r="G28" i="2" s="1"/>
  <c r="H28" i="2" s="1"/>
  <c r="J28" i="2" s="1"/>
  <c r="L28" i="2" s="1"/>
  <c r="T28" i="18"/>
  <c r="N29" i="14" s="1"/>
  <c r="M29" i="14"/>
  <c r="AZ38" i="4"/>
  <c r="L27" i="18" l="1"/>
  <c r="M27" i="18" s="1"/>
  <c r="O27" i="18" s="1"/>
  <c r="P27" i="18" s="1"/>
  <c r="AX39" i="4"/>
  <c r="BK38" i="4"/>
  <c r="BM38" i="4" s="1"/>
  <c r="BO38" i="4" s="1"/>
  <c r="AY39" i="4" l="1"/>
  <c r="BJ39" i="4" s="1"/>
  <c r="G30" i="14" s="1"/>
  <c r="L30" i="14" s="1"/>
  <c r="R29" i="18" s="1"/>
  <c r="S29" i="18" s="1"/>
  <c r="E29" i="14"/>
  <c r="H29" i="14" s="1"/>
  <c r="J29" i="14" s="1"/>
  <c r="K28" i="18"/>
  <c r="F29" i="2"/>
  <c r="L28" i="18" l="1"/>
  <c r="M28" i="18" s="1"/>
  <c r="O28" i="18" s="1"/>
  <c r="P28" i="18" s="1"/>
  <c r="G29" i="2"/>
  <c r="H29" i="2" s="1"/>
  <c r="J29" i="2" s="1"/>
  <c r="L29" i="2" s="1"/>
  <c r="AZ39" i="4"/>
  <c r="M30" i="14"/>
  <c r="T29" i="18"/>
  <c r="N30" i="14" s="1"/>
  <c r="AX40" i="4" l="1"/>
  <c r="BK39" i="4"/>
  <c r="BM39" i="4" s="1"/>
  <c r="BO39" i="4" s="1"/>
  <c r="F30" i="2" l="1"/>
  <c r="E30" i="14"/>
  <c r="H30" i="14" s="1"/>
  <c r="J30" i="14" s="1"/>
  <c r="K29" i="18"/>
  <c r="AY40" i="4"/>
  <c r="BJ40" i="4" s="1"/>
  <c r="G31" i="14" s="1"/>
  <c r="L31" i="14" l="1"/>
  <c r="G33" i="14"/>
  <c r="G30" i="2"/>
  <c r="H30" i="2" s="1"/>
  <c r="J30" i="2" s="1"/>
  <c r="L30" i="2" s="1"/>
  <c r="L29" i="18"/>
  <c r="M29" i="18" s="1"/>
  <c r="O29" i="18" s="1"/>
  <c r="P29" i="18" s="1"/>
  <c r="AZ40" i="4"/>
  <c r="BK40" i="4" s="1"/>
  <c r="BM40" i="4" s="1"/>
  <c r="BO40" i="4" s="1"/>
  <c r="K30" i="18" l="1"/>
  <c r="E31" i="14"/>
  <c r="H31" i="14" s="1"/>
  <c r="F31" i="2"/>
  <c r="R30" i="18"/>
  <c r="S30" i="18" s="1"/>
  <c r="L33" i="14"/>
  <c r="J31" i="14" l="1"/>
  <c r="H33" i="14"/>
  <c r="T30" i="18"/>
  <c r="M31" i="14"/>
  <c r="P31" i="18" l="1"/>
  <c r="K31" i="2" s="1"/>
  <c r="N31" i="14"/>
  <c r="N33" i="14" s="1"/>
  <c r="L30" i="18"/>
  <c r="M30" i="18" s="1"/>
  <c r="O30" i="18" s="1"/>
  <c r="P30" i="18" s="1"/>
  <c r="P32" i="18" s="1"/>
  <c r="H34" i="18" s="1"/>
  <c r="G31" i="2"/>
  <c r="H31" i="2" s="1"/>
  <c r="J31" i="2" s="1"/>
  <c r="J33" i="14"/>
  <c r="L31" i="2" l="1"/>
  <c r="B29" i="21" s="1"/>
  <c r="K29" i="21" l="1"/>
  <c r="L29" i="21" s="1"/>
  <c r="C29" i="21"/>
  <c r="F29" i="21" s="1"/>
  <c r="H29" i="21" s="1"/>
  <c r="C56" i="21"/>
  <c r="D29" i="21" l="1"/>
  <c r="B30" i="21" s="1"/>
  <c r="C30" i="21" s="1"/>
  <c r="F30" i="21" s="1"/>
  <c r="H30" i="21" s="1"/>
  <c r="K30" i="21" l="1"/>
  <c r="L30" i="21" s="1"/>
  <c r="D30" i="21"/>
  <c r="B31" i="21" s="1"/>
  <c r="C31" i="21" l="1"/>
  <c r="F31" i="21" s="1"/>
  <c r="H31" i="21" s="1"/>
  <c r="K31" i="21"/>
  <c r="L31" i="21" s="1"/>
  <c r="D31" i="21" l="1"/>
  <c r="B32" i="21" s="1"/>
  <c r="K32" i="21" l="1"/>
  <c r="L32" i="21" s="1"/>
  <c r="C32" i="21"/>
  <c r="F32" i="21" s="1"/>
  <c r="H32" i="21" s="1"/>
  <c r="D32" i="21" l="1"/>
  <c r="B33" i="21" s="1"/>
  <c r="K33" i="21" l="1"/>
  <c r="L33" i="21" s="1"/>
  <c r="C33" i="21"/>
  <c r="F33" i="21" s="1"/>
  <c r="H33" i="21" s="1"/>
  <c r="D33" i="21" l="1"/>
  <c r="B34" i="21" s="1"/>
  <c r="K34" i="21" s="1"/>
  <c r="L34" i="21" s="1"/>
  <c r="C34" i="21" l="1"/>
  <c r="F34" i="21" s="1"/>
  <c r="H34" i="21" s="1"/>
  <c r="D34" i="21" l="1"/>
  <c r="B35" i="21" s="1"/>
  <c r="C35" i="21" l="1"/>
  <c r="K35" i="21"/>
  <c r="L35" i="21" s="1"/>
  <c r="F35" i="21" l="1"/>
  <c r="H35" i="21" s="1"/>
  <c r="D35" i="21"/>
  <c r="B36" i="21" s="1"/>
  <c r="K36" i="21" l="1"/>
  <c r="L36" i="21" s="1"/>
  <c r="C36" i="21"/>
  <c r="F36" i="21" s="1"/>
  <c r="H36" i="21" s="1"/>
  <c r="D36" i="21" l="1"/>
  <c r="B37" i="21" s="1"/>
  <c r="K37" i="21" s="1"/>
  <c r="L37" i="21" s="1"/>
  <c r="C37" i="21" l="1"/>
  <c r="F37" i="21" s="1"/>
  <c r="H37" i="21" s="1"/>
  <c r="D37" i="21" l="1"/>
  <c r="B38" i="21" s="1"/>
  <c r="K38" i="21" s="1"/>
  <c r="L38" i="21" s="1"/>
  <c r="C38" i="21" l="1"/>
  <c r="F38" i="21" s="1"/>
  <c r="H38" i="21" s="1"/>
  <c r="D38" i="21" l="1"/>
  <c r="B39" i="21" s="1"/>
  <c r="K39" i="21" s="1"/>
  <c r="L39" i="21" s="1"/>
  <c r="C39" i="21" l="1"/>
  <c r="F39" i="21" s="1"/>
  <c r="H39" i="21" s="1"/>
  <c r="D39" i="21" l="1"/>
  <c r="B40" i="21" s="1"/>
  <c r="C40" i="21" s="1"/>
  <c r="F40" i="21" s="1"/>
  <c r="H40" i="21" s="1"/>
  <c r="D40" i="21" l="1"/>
  <c r="B41" i="21" s="1"/>
  <c r="K41" i="21" s="1"/>
  <c r="L41" i="21" s="1"/>
  <c r="K40" i="21"/>
  <c r="L40" i="21" s="1"/>
  <c r="C41" i="21" l="1"/>
  <c r="F41" i="21" s="1"/>
  <c r="H41" i="21" s="1"/>
  <c r="D41" i="21" l="1"/>
  <c r="B42" i="21" s="1"/>
  <c r="K42" i="21" s="1"/>
  <c r="L42" i="21" s="1"/>
  <c r="C42" i="21" l="1"/>
  <c r="F42" i="21" s="1"/>
  <c r="H42" i="21" s="1"/>
  <c r="D42" i="21" l="1"/>
  <c r="B43" i="21" s="1"/>
  <c r="K43" i="21" s="1"/>
  <c r="L43" i="21" s="1"/>
  <c r="C43" i="21" l="1"/>
  <c r="F43" i="21" s="1"/>
  <c r="H43" i="21" s="1"/>
  <c r="D43" i="21" l="1"/>
  <c r="B44" i="21" s="1"/>
  <c r="C44" i="21" l="1"/>
  <c r="K44" i="21"/>
  <c r="L44" i="21" s="1"/>
  <c r="F44" i="21" l="1"/>
  <c r="H44" i="21" s="1"/>
  <c r="D44" i="21"/>
  <c r="B45" i="21" s="1"/>
  <c r="C45" i="21" l="1"/>
  <c r="F45" i="21" s="1"/>
  <c r="H45" i="21" s="1"/>
  <c r="K45" i="21"/>
  <c r="L45" i="21" s="1"/>
  <c r="D45" i="21" l="1"/>
  <c r="B46" i="21" s="1"/>
  <c r="K46" i="21" s="1"/>
  <c r="L46" i="21" s="1"/>
  <c r="C46" i="21" l="1"/>
  <c r="F46" i="21" s="1"/>
  <c r="H46" i="21" s="1"/>
  <c r="D46" i="21" l="1"/>
  <c r="B47" i="21" s="1"/>
  <c r="C47" i="21" s="1"/>
  <c r="F47" i="21" s="1"/>
  <c r="H47" i="21" s="1"/>
  <c r="K47" i="21" l="1"/>
  <c r="L47" i="21" s="1"/>
  <c r="D47" i="21"/>
  <c r="B48" i="21" s="1"/>
  <c r="K48" i="21" s="1"/>
  <c r="L48" i="21" s="1"/>
  <c r="C48" i="21" l="1"/>
  <c r="F48" i="21" s="1"/>
  <c r="H48" i="21" s="1"/>
  <c r="D48" i="21" l="1"/>
  <c r="B49" i="21" s="1"/>
  <c r="K49" i="21" s="1"/>
  <c r="L49" i="21" s="1"/>
  <c r="C49" i="21" l="1"/>
  <c r="F49" i="21" s="1"/>
  <c r="H49" i="21" s="1"/>
  <c r="D49" i="21" l="1"/>
  <c r="B50" i="21" s="1"/>
  <c r="C50" i="21" s="1"/>
  <c r="F50" i="21" s="1"/>
  <c r="H50" i="21" s="1"/>
  <c r="K50" i="21" l="1"/>
  <c r="L50" i="21" s="1"/>
  <c r="D50" i="21"/>
  <c r="B51" i="21" s="1"/>
  <c r="K51" i="21" s="1"/>
  <c r="L51" i="21" s="1"/>
  <c r="C51" i="21" l="1"/>
  <c r="F51" i="21" s="1"/>
  <c r="H51" i="21" s="1"/>
  <c r="D51" i="21" l="1"/>
  <c r="B52" i="21" s="1"/>
  <c r="C52" i="21" l="1"/>
  <c r="F52" i="21" s="1"/>
  <c r="H52" i="21" s="1"/>
  <c r="K52" i="21"/>
  <c r="L52" i="21" s="1"/>
  <c r="D52" i="21" l="1"/>
  <c r="B53" i="21" s="1"/>
  <c r="K53" i="21" l="1"/>
  <c r="L53" i="21" s="1"/>
  <c r="L54" i="21" s="1"/>
  <c r="C58" i="21" s="1"/>
  <c r="C53" i="21"/>
  <c r="F53" i="21" s="1"/>
  <c r="H53" i="21" s="1"/>
  <c r="H54" i="21" s="1"/>
  <c r="C57" i="21" l="1"/>
  <c r="C59" i="21" s="1"/>
  <c r="D36" i="10" s="1"/>
  <c r="D12" i="10" s="1"/>
  <c r="L35" i="14"/>
  <c r="D53" i="21"/>
  <c r="K23" i="20" l="1"/>
  <c r="D16" i="10"/>
  <c r="D18" i="10"/>
  <c r="D10" i="10"/>
  <c r="D17" i="10"/>
  <c r="D23" i="10"/>
  <c r="D28" i="10"/>
  <c r="D26" i="10"/>
  <c r="D14" i="10"/>
  <c r="D21" i="10"/>
  <c r="D24" i="10"/>
  <c r="D11" i="10"/>
  <c r="D29" i="10"/>
  <c r="D22" i="10"/>
  <c r="E36" i="10"/>
  <c r="D25" i="10"/>
  <c r="D9" i="10"/>
  <c r="D27" i="10"/>
  <c r="D15" i="10"/>
  <c r="D13" i="10"/>
  <c r="D30" i="10"/>
  <c r="D32" i="10"/>
  <c r="K11" i="20" l="1"/>
  <c r="K14" i="24"/>
  <c r="D41" i="10" s="1"/>
  <c r="K10" i="20" s="1"/>
  <c r="B26" i="20"/>
  <c r="K13" i="20"/>
  <c r="D34" i="10"/>
  <c r="K12" i="24" s="1"/>
  <c r="K26" i="20"/>
  <c r="D42" i="10" l="1"/>
  <c r="D43" i="10" s="1"/>
  <c r="F307" i="9" s="1"/>
  <c r="F297" i="9" s="1"/>
  <c r="K15" i="20"/>
  <c r="K15" i="24"/>
  <c r="K17" i="24" s="1"/>
  <c r="F305" i="9" l="1"/>
  <c r="G305" i="9" s="1"/>
  <c r="B56" i="10" s="1"/>
  <c r="F301" i="9"/>
  <c r="G301" i="9" s="1"/>
  <c r="B52" i="10" s="1"/>
  <c r="F300" i="9"/>
  <c r="G300" i="9" s="1"/>
  <c r="B51" i="10" s="1"/>
  <c r="G297" i="9"/>
  <c r="F299" i="9"/>
  <c r="G299" i="9" s="1"/>
  <c r="B50" i="10" s="1"/>
  <c r="B48" i="10"/>
  <c r="F306" i="9"/>
  <c r="G306" i="9" s="1"/>
  <c r="B57" i="10" s="1"/>
  <c r="F304" i="9"/>
  <c r="G304" i="9" s="1"/>
  <c r="B55" i="10" s="1"/>
  <c r="F298" i="9"/>
  <c r="G298" i="9" s="1"/>
  <c r="B49" i="10" s="1"/>
  <c r="F302" i="9"/>
  <c r="G302" i="9" s="1"/>
  <c r="B53" i="10" s="1"/>
  <c r="F303" i="9"/>
  <c r="G303" i="9" s="1"/>
  <c r="B54" i="10" s="1"/>
  <c r="F59" i="10" l="1"/>
  <c r="C59" i="10"/>
  <c r="E59" i="10"/>
  <c r="G59" i="10"/>
  <c r="D59" i="10"/>
  <c r="H59"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author>
  </authors>
  <commentList>
    <comment ref="O75" authorId="0" shapeId="0" xr:uid="{00000000-0006-0000-0100-000001000000}">
      <text>
        <r>
          <rPr>
            <sz val="9"/>
            <color indexed="81"/>
            <rFont val="Tahoma"/>
            <family val="2"/>
          </rPr>
          <t xml:space="preserve">5-Year Rolling Average based on Rate Class
</t>
        </r>
      </text>
    </comment>
    <comment ref="O111" authorId="0" shapeId="0" xr:uid="{00000000-0006-0000-0100-000002000000}">
      <text>
        <r>
          <rPr>
            <sz val="9"/>
            <color indexed="81"/>
            <rFont val="Tahoma"/>
            <family val="2"/>
          </rPr>
          <t xml:space="preserve">5-Year Rolling Average based on totals.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author>
    <author xml:space="preserve"> </author>
    <author>davep</author>
  </authors>
  <commentList>
    <comment ref="A52" authorId="0" shapeId="0" xr:uid="{00000000-0006-0000-0300-000001000000}">
      <text>
        <r>
          <rPr>
            <sz val="9"/>
            <color indexed="81"/>
            <rFont val="Tahoma"/>
            <family val="2"/>
          </rPr>
          <t xml:space="preserve">Recommend using current rates / tariff sheets.
Please Note:  If a customer owned transformer is part of the Economic Evaluation, the "Revenue Forecasting Inputs" should be adjusted for the current Tranformer Allowance for Ownership rate as per the LDCs Tarriff Sheets. </t>
        </r>
      </text>
    </comment>
    <comment ref="A120" authorId="0" shapeId="0" xr:uid="{00000000-0006-0000-0300-000002000000}">
      <text>
        <r>
          <rPr>
            <sz val="9"/>
            <color indexed="81"/>
            <rFont val="Tahoma"/>
            <family val="2"/>
          </rPr>
          <t xml:space="preserve">Recommend using 5 year rolling average (see "Assumptions" tab)
</t>
        </r>
      </text>
    </comment>
    <comment ref="A217" authorId="0" shapeId="0" xr:uid="{00000000-0006-0000-0300-000003000000}">
      <text>
        <r>
          <rPr>
            <sz val="9"/>
            <color indexed="81"/>
            <rFont val="Tahoma"/>
            <family val="2"/>
          </rPr>
          <t xml:space="preserve">Non-Contestable Costs -  Should include items such as inspections and termination to your distribution system.
Please Note:  By default, this model treats all non-contestable capital costs as a shortfall owed to the LDC.  It is not part of the Transfer Price.  </t>
        </r>
      </text>
    </comment>
    <comment ref="A237" authorId="0" shapeId="0" xr:uid="{00000000-0006-0000-0300-000004000000}">
      <text>
        <r>
          <rPr>
            <sz val="9"/>
            <color indexed="81"/>
            <rFont val="Tahoma"/>
            <family val="2"/>
          </rPr>
          <t xml:space="preserve">Recommend using 5 year rolling average (see "Assumptions" tab)
</t>
        </r>
      </text>
    </comment>
    <comment ref="C251" authorId="0" shapeId="0" xr:uid="{00000000-0006-0000-0300-000005000000}">
      <text>
        <r>
          <rPr>
            <sz val="9"/>
            <color indexed="81"/>
            <rFont val="Tahoma"/>
            <family val="2"/>
          </rPr>
          <t>CCA Class 47 is for property acquired after February 22, 2005 that is transmission or distribution equipment used for the transmission or distribution of electrical energy.  CCA Rate for Class 47 is always 8%</t>
        </r>
      </text>
    </comment>
    <comment ref="A290" authorId="1" shapeId="0" xr:uid="{00000000-0006-0000-0300-000006000000}">
      <text>
        <r>
          <rPr>
            <b/>
            <sz val="8"/>
            <color indexed="81"/>
            <rFont val="Tahoma"/>
            <family val="2"/>
          </rPr>
          <t xml:space="preserve"> :</t>
        </r>
        <r>
          <rPr>
            <sz val="8"/>
            <color indexed="81"/>
            <rFont val="Tahoma"/>
            <family val="2"/>
          </rPr>
          <t xml:space="preserve">
Large Capital Tax eliminated effective Jan 1 2006.
Ontario Capital Tax .225% for 2008 and 2009 and .150% for 2010 to be phased out by July 1, therefore the OCT will have to be prorated for the 1/2 year (.150% / 2).
Also, there is a capital exemption or threshold of $15,000,000 for the OCT.</t>
        </r>
      </text>
    </comment>
    <comment ref="A292" authorId="1" shapeId="0" xr:uid="{00000000-0006-0000-0300-000007000000}">
      <text>
        <r>
          <rPr>
            <b/>
            <sz val="8"/>
            <color indexed="81"/>
            <rFont val="Tahoma"/>
            <family val="2"/>
          </rPr>
          <t xml:space="preserve"> :</t>
        </r>
        <r>
          <rPr>
            <sz val="8"/>
            <color indexed="81"/>
            <rFont val="Tahoma"/>
            <family val="2"/>
          </rPr>
          <t xml:space="preserve">
Consider using tax rates from most recent T2 and CT23 returns</t>
        </r>
      </text>
    </comment>
    <comment ref="B296" authorId="2" shapeId="0" xr:uid="{00000000-0006-0000-0300-000008000000}">
      <text>
        <r>
          <rPr>
            <sz val="8"/>
            <color indexed="81"/>
            <rFont val="Tahoma"/>
            <family val="2"/>
          </rPr>
          <t>The numbers to input in this column are obtained from data in cells E116:E177.  The cell where you are taking the data from must be referenced here to ensure total dollars are allocated by the refund.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davep</author>
  </authors>
  <commentList>
    <comment ref="F3" authorId="0" shapeId="0" xr:uid="{00000000-0006-0000-0500-000001000000}">
      <text>
        <r>
          <rPr>
            <b/>
            <sz val="8"/>
            <color indexed="81"/>
            <rFont val="Tahoma"/>
            <family val="2"/>
          </rPr>
          <t>Some additional important comments:</t>
        </r>
        <r>
          <rPr>
            <sz val="8"/>
            <color indexed="81"/>
            <rFont val="Tahoma"/>
            <family val="2"/>
          </rPr>
          <t xml:space="preserve">
Arrange for the required expansion deposit before the project begins based on  the initial run of the model.  The reason for taking these funds up front is to cover the LDC if the Customer does not complete the project.  It covers the LDC for both Asset Risk and Forecast Risk.
</t>
        </r>
        <r>
          <rPr>
            <b/>
            <sz val="8"/>
            <color indexed="81"/>
            <rFont val="Tahoma"/>
            <family val="2"/>
          </rPr>
          <t xml:space="preserve">Once the initial Economic Evaluation is complete, it is highly recommended that a permanent copy (.pdf or excel) be kept for reference purposes. </t>
        </r>
        <r>
          <rPr>
            <sz val="8"/>
            <color indexed="81"/>
            <rFont val="Tahoma"/>
            <family val="2"/>
          </rPr>
          <t xml:space="preserve"> If expansion deposits are collected from the Developer, this permanent copy will be the only record of the original amount of deposit collected.  
At the time of energization the model should be re-run with the actual costs of the project, costs which should be agreed to by the LDC.  At that time the projected shortfall will be calculated and paid to the LDC by the Developer and recorded by the LDC as a Capital Contribution toward the project.  At the same time the LDC should pay the appropriate Transfer Price to the Developer for the contestable work which is also calculated in the model.  It may also be appropriate to adjust the amount of the Expansion Deposit at this time if a significant change from the initial run of the model occurs. 
Six months after the end of each year of the Connection Horizon the LDC should re-run the model inserting actual connections and the actual load for those connected customers to determine the amount of Expansion Deposit to be refunded.  Any portion of the deposit which is not refunded to the Developer at the end of the Connection Horizon or after the 2 year warranty period is to be recorded by the LDC  as a Capital Contribution toward the project.
</t>
        </r>
      </text>
    </comment>
    <comment ref="D38" authorId="0" shapeId="0" xr:uid="{00000000-0006-0000-0500-000002000000}">
      <text>
        <r>
          <rPr>
            <sz val="8"/>
            <color indexed="81"/>
            <rFont val="Tahoma"/>
            <family val="2"/>
          </rPr>
          <t>This amount is only to be  considered if the work was done and paid for by the developer.  An amount will only show here if the letter D was inserted at cell B5 of the 'Inputs' 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O13" authorId="0" shapeId="0" xr:uid="{00000000-0006-0000-0900-000001000000}">
      <text>
        <r>
          <rPr>
            <b/>
            <sz val="8"/>
            <color indexed="81"/>
            <rFont val="Tahoma"/>
            <family val="2"/>
          </rPr>
          <t xml:space="preserve"> :</t>
        </r>
        <r>
          <rPr>
            <sz val="8"/>
            <color indexed="81"/>
            <rFont val="Tahoma"/>
            <family val="2"/>
          </rPr>
          <t xml:space="preserve">
See worksheet "Contribution CCA &amp; Cap Tax" for the impact of the Contribution amount which will reduce the Capital Tax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4" authorId="0" shapeId="0" xr:uid="{00000000-0006-0000-0B00-000001000000}">
      <text>
        <r>
          <rPr>
            <b/>
            <sz val="8"/>
            <color indexed="81"/>
            <rFont val="Tahoma"/>
            <family val="2"/>
          </rPr>
          <t xml:space="preserve"> </t>
        </r>
        <r>
          <rPr>
            <sz val="8"/>
            <color indexed="81"/>
            <rFont val="Tahoma"/>
            <family val="2"/>
          </rPr>
          <t>See worksheet "Contribution CCA and Cap Tax" for the impact of the contribution on the Tax Shield and the Capital Tax.</t>
        </r>
      </text>
    </comment>
  </commentList>
</comments>
</file>

<file path=xl/sharedStrings.xml><?xml version="1.0" encoding="utf-8"?>
<sst xmlns="http://schemas.openxmlformats.org/spreadsheetml/2006/main" count="1215" uniqueCount="362">
  <si>
    <t>INDEX</t>
  </si>
  <si>
    <t>Tab Title</t>
  </si>
  <si>
    <t>Description</t>
  </si>
  <si>
    <t>This page lists and describes each of the sheets in the order that they appear within the spreadsheet.</t>
  </si>
  <si>
    <t>CCA</t>
  </si>
  <si>
    <t>%</t>
  </si>
  <si>
    <t>Inputs</t>
  </si>
  <si>
    <t>Revenue</t>
  </si>
  <si>
    <t>Year</t>
  </si>
  <si>
    <t>After Tax  Cash Flow</t>
  </si>
  <si>
    <t>PV of  After Tax Cash Flow</t>
  </si>
  <si>
    <t>Cumulative Net Present Value</t>
  </si>
  <si>
    <t>Capital Tax</t>
  </si>
  <si>
    <t>($/kWh)</t>
  </si>
  <si>
    <t>Distribution Revenue Model</t>
  </si>
  <si>
    <t>Debt</t>
  </si>
  <si>
    <t>($/Customer)</t>
  </si>
  <si>
    <t xml:space="preserve">Charge </t>
  </si>
  <si>
    <t>Rate Class 1</t>
  </si>
  <si>
    <t>Rate Class 2</t>
  </si>
  <si>
    <t>Rate Class 3</t>
  </si>
  <si>
    <t>Rate Class 4</t>
  </si>
  <si>
    <t>Rate Class 5</t>
  </si>
  <si>
    <t>Rate Class 6</t>
  </si>
  <si>
    <t>Naming Conventions</t>
  </si>
  <si>
    <t>Rate Classes</t>
  </si>
  <si>
    <t>Volumetric Charge</t>
  </si>
  <si>
    <t>($/kW)</t>
  </si>
  <si>
    <t>Monthly Service</t>
  </si>
  <si>
    <t>Average</t>
  </si>
  <si>
    <t>Monthly Consumption</t>
  </si>
  <si>
    <t>(kWh)</t>
  </si>
  <si>
    <t>(kW)</t>
  </si>
  <si>
    <t>Rate</t>
  </si>
  <si>
    <t>Capital Costs</t>
  </si>
  <si>
    <t>Total</t>
  </si>
  <si>
    <t>Revenue Forecasting Inputs</t>
  </si>
  <si>
    <t>Capital Cost Inputs</t>
  </si>
  <si>
    <t>Financial Assumptions</t>
  </si>
  <si>
    <t>Capital Cost</t>
  </si>
  <si>
    <t>Equity Rate (%)</t>
  </si>
  <si>
    <t>Income Tax Rate (%)</t>
  </si>
  <si>
    <t>Capital Tax Rate (%)</t>
  </si>
  <si>
    <t>Rate Class:</t>
  </si>
  <si>
    <t>Connections</t>
  </si>
  <si>
    <t>Annual</t>
  </si>
  <si>
    <t>Accum.</t>
  </si>
  <si>
    <t>Energy</t>
  </si>
  <si>
    <t>Demand</t>
  </si>
  <si>
    <t xml:space="preserve">(kW) </t>
  </si>
  <si>
    <t xml:space="preserve">Service </t>
  </si>
  <si>
    <t xml:space="preserve">Monthly </t>
  </si>
  <si>
    <t>Monthly</t>
  </si>
  <si>
    <t>Net Present Value Cash Flow Analysis</t>
  </si>
  <si>
    <t>Municipal Tax</t>
  </si>
  <si>
    <t>Summary</t>
  </si>
  <si>
    <t>Accumulated Connections</t>
  </si>
  <si>
    <t>Cost</t>
  </si>
  <si>
    <t>Mid Year Present Value Factor Calculations</t>
  </si>
  <si>
    <t>Depreciation</t>
  </si>
  <si>
    <t>Costs</t>
  </si>
  <si>
    <t xml:space="preserve">Municipal </t>
  </si>
  <si>
    <t xml:space="preserve">Tax </t>
  </si>
  <si>
    <t>Municipal</t>
  </si>
  <si>
    <t>Taxes</t>
  </si>
  <si>
    <t>Total Capital Costs</t>
  </si>
  <si>
    <t>Opening UCC</t>
  </si>
  <si>
    <t>Closing UCC</t>
  </si>
  <si>
    <t xml:space="preserve">Total </t>
  </si>
  <si>
    <t>Capital</t>
  </si>
  <si>
    <t>Accumulated</t>
  </si>
  <si>
    <t>Gross Plant</t>
  </si>
  <si>
    <t>Net Plant</t>
  </si>
  <si>
    <t>Interest</t>
  </si>
  <si>
    <t>Income Tax Calculations</t>
  </si>
  <si>
    <t>Tax</t>
  </si>
  <si>
    <t xml:space="preserve"> Income Taxes</t>
  </si>
  <si>
    <t>Table of Contents</t>
  </si>
  <si>
    <t>CCA &amp; Cap Tax</t>
  </si>
  <si>
    <t>Income Tax</t>
  </si>
  <si>
    <t>Dep'n &amp; Int</t>
  </si>
  <si>
    <t>NPV Cash Flow Anal</t>
  </si>
  <si>
    <t>Mid Year PV Factor</t>
  </si>
  <si>
    <t>Municipal Tax Rate (%)</t>
  </si>
  <si>
    <t>Municipal Tax Calculations</t>
  </si>
  <si>
    <t>Component</t>
  </si>
  <si>
    <t>Payable</t>
  </si>
  <si>
    <t xml:space="preserve">This sheet is were all the inputs for the economic evaluation model are entered into the model. Please note that as per the Distribution System Code this model does not consider inflation in the analysis. </t>
  </si>
  <si>
    <t>This sheet calculates Income Taxes or in other words Payments in Lieu of Taxes.</t>
  </si>
  <si>
    <t>This sheet determines the Net Present Value for all the incremental Cash Flows resulting from the Capital  program.</t>
  </si>
  <si>
    <t>This sheet calculates the incremental Cost of Capital factors to be used in the net Present Value equations.</t>
  </si>
  <si>
    <t>Capital Cost Allowance and Capital Tax Calculation</t>
  </si>
  <si>
    <t>Depreciation and Interest Calculations</t>
  </si>
  <si>
    <t>Land</t>
  </si>
  <si>
    <t>Please Note: Land is a fixed capital category because it is the only capital cost to attract municipal tax</t>
  </si>
  <si>
    <t xml:space="preserve">Land Capital </t>
  </si>
  <si>
    <t>Land Costs</t>
  </si>
  <si>
    <t>of Land</t>
  </si>
  <si>
    <t>Total Tax</t>
  </si>
  <si>
    <t>Base for</t>
  </si>
  <si>
    <t>This sheet calculates incremental Municipal Taxes on new property of the project</t>
  </si>
  <si>
    <t>to attract municipal tax.</t>
  </si>
  <si>
    <t xml:space="preserve">Please Note: As outlined below Land is a 'hard coded' capital category because it is the only capital cost </t>
  </si>
  <si>
    <t xml:space="preserve">In addition, Land does not depreciation for accounting or income tax purposes. If you do not have Land in </t>
  </si>
  <si>
    <t>the project then leave the input field blank.</t>
  </si>
  <si>
    <t xml:space="preserve">Please Note: Land will not have a depreciation or CCA rate applied to it because it is a non depreciating asset. </t>
  </si>
  <si>
    <t>However, provision for a capital overhead rate on Land has been provided if required for evaluation purposes</t>
  </si>
  <si>
    <t>Tax Rate</t>
  </si>
  <si>
    <t>Actual Capital Costs</t>
  </si>
  <si>
    <t xml:space="preserve">Net Plant </t>
  </si>
  <si>
    <t>Excl Land</t>
  </si>
  <si>
    <t>Incl Land</t>
  </si>
  <si>
    <t>This sheet determines the level of Capital Cost Allowance (CCA) for the calculation of Income Taxes as well as the amount of Capital Tax. CCA is determined on declining balance basis</t>
  </si>
  <si>
    <t>Capital Class 9</t>
  </si>
  <si>
    <t>Capital Class 10</t>
  </si>
  <si>
    <t>Rate Class 7</t>
  </si>
  <si>
    <t>Rate Class 8</t>
  </si>
  <si>
    <t>Accumulated kWh</t>
  </si>
  <si>
    <t>Accumulated kW</t>
  </si>
  <si>
    <t>Cost of Equity</t>
  </si>
  <si>
    <t>Cost of Capital</t>
  </si>
  <si>
    <t>after tax</t>
  </si>
  <si>
    <t>Discount Factor</t>
  </si>
  <si>
    <t>New Customers</t>
  </si>
  <si>
    <t>This sheet determines the level of Depreciation and the amount of Deemed Interest to be used in the calculation of Income Taxes. Depreciation is determined on straight line basis.</t>
  </si>
  <si>
    <t>Equity %</t>
  </si>
  <si>
    <t>PV Factor utilizing mid year discounting</t>
  </si>
  <si>
    <t>Summary of Results For</t>
  </si>
  <si>
    <t>Inputs For Project</t>
  </si>
  <si>
    <t>Net Present Value</t>
  </si>
  <si>
    <t>EXPANSION DEPOSIT IF CAPITAL CONTRIBUTION REQUIRED</t>
  </si>
  <si>
    <t>EXPANSION DEPOSIT IF CAPITAL CONTRIBUTION NOT REQUIRED</t>
  </si>
  <si>
    <t>If negative, there is a Shortfall between the NPV of the Revenues and the NPV of the Total Costs</t>
  </si>
  <si>
    <t>EXPANSION DEPOSIT</t>
  </si>
  <si>
    <t>Capital Contribution Required ONLY if Negative</t>
  </si>
  <si>
    <t>Contributed</t>
  </si>
  <si>
    <t>Allocation</t>
  </si>
  <si>
    <t>if Negative</t>
  </si>
  <si>
    <t>Warranty Holdback - 10%</t>
  </si>
  <si>
    <t>Expansion Deposit Available on Connection</t>
  </si>
  <si>
    <t>KW</t>
  </si>
  <si>
    <t># Customers</t>
  </si>
  <si>
    <t>Total kW</t>
  </si>
  <si>
    <t>Refund/Conn</t>
  </si>
  <si>
    <t>kW Load</t>
  </si>
  <si>
    <t>Upstream Costs</t>
  </si>
  <si>
    <t>Total Refund</t>
  </si>
  <si>
    <t>Refund Per Connection</t>
  </si>
  <si>
    <t>Estimated Customer Connections</t>
  </si>
  <si>
    <t>This sheet  provides a summary of the Capital Cost program, the Net Present Value of the Capital Cost program, the Capital Contribution amounts from the LDC and the Customer, and the Expansion Deposit calculations.</t>
  </si>
  <si>
    <t>Expansion Deposit</t>
  </si>
  <si>
    <t>This sheet calculates the amount of the Expansion Deposit to be collected from the customer/developer depending whether a shortfall exists based on  the economic evaluation calculation</t>
  </si>
  <si>
    <t>This sheet calculates the incremental Revenue from new customers assuming currently approved rates excluding transition cost. The rates are also adjusted to reflect the phase-in of Market Based Rate of Return.</t>
  </si>
  <si>
    <t>Monthly Consumption Assumptions</t>
  </si>
  <si>
    <t>OM&amp;A Calculation</t>
  </si>
  <si>
    <t>Per Section 3.2.20 of the Distribution System Code effective Jan 23, 2007</t>
  </si>
  <si>
    <t>Developer Summary</t>
  </si>
  <si>
    <t>Section 1</t>
  </si>
  <si>
    <t>Section 2</t>
  </si>
  <si>
    <t>Transfer Price if Developer Installed (due to Developer)</t>
  </si>
  <si>
    <t>Capital Contribution (shortfall due to LDC)</t>
  </si>
  <si>
    <t>Important Note</t>
  </si>
  <si>
    <t>Section 3</t>
  </si>
  <si>
    <t>Construction Costs</t>
  </si>
  <si>
    <t>Contestable</t>
  </si>
  <si>
    <t>Non-Contestable</t>
  </si>
  <si>
    <t>Expected Connections</t>
  </si>
  <si>
    <t xml:space="preserve">Year 1 </t>
  </si>
  <si>
    <t>Year 2</t>
  </si>
  <si>
    <t>Year 3</t>
  </si>
  <si>
    <t>Year 4</t>
  </si>
  <si>
    <t>Year 5</t>
  </si>
  <si>
    <t>TOTAL</t>
  </si>
  <si>
    <t xml:space="preserve">The transaction noted in Section 2 is based on inputted information from the Electrical System Connection Form provided by the Developer. When actual calculations are made there may be applicable impacts that the Developer is responsible for. </t>
  </si>
  <si>
    <t>EXPANSION DEPOSIT REFUND - Performed Annually based on ACTUAL Connections</t>
  </si>
  <si>
    <t>LDC Debt Ratio (%) Long Term</t>
  </si>
  <si>
    <t>LDC Debt Ratio (%) Short Term</t>
  </si>
  <si>
    <t>Debt Rate (%) Long Term</t>
  </si>
  <si>
    <t>Debt Rate (%) Short Term</t>
  </si>
  <si>
    <t>Debt % Long Term</t>
  </si>
  <si>
    <t>Debt % Short Term</t>
  </si>
  <si>
    <t>Cost of Debt - Long Term</t>
  </si>
  <si>
    <t>Cost of Debt - Short Term</t>
  </si>
  <si>
    <t>CCA Tax Shield</t>
  </si>
  <si>
    <t>Excl CCA</t>
  </si>
  <si>
    <t>Tax Shield</t>
  </si>
  <si>
    <t>CCA x Tax Rate</t>
  </si>
  <si>
    <t>Sum of columns</t>
  </si>
  <si>
    <t>CCA
Tax
Shield</t>
  </si>
  <si>
    <t>Net
Present
Value</t>
  </si>
  <si>
    <t>Cumulative
Present
Value</t>
  </si>
  <si>
    <t>Total Additions</t>
  </si>
  <si>
    <t>CCA rate</t>
  </si>
  <si>
    <t>PV Factor</t>
  </si>
  <si>
    <t>PV</t>
  </si>
  <si>
    <t>Add: PV of CCA impact</t>
  </si>
  <si>
    <t>Capital Contribution after CCA impact</t>
  </si>
  <si>
    <t>Tax Impact</t>
  </si>
  <si>
    <t>Capital  &amp; CCA Tax Effect of Capital Contribution Netting</t>
  </si>
  <si>
    <t>Amount</t>
  </si>
  <si>
    <t>Less: PV of Capital Tax impact</t>
  </si>
  <si>
    <t>Capital Contribution, before tax impacts due to netting</t>
  </si>
  <si>
    <t>Taxable Income</t>
  </si>
  <si>
    <t>This is an interim value since if negative the impact of the Capital contribution has to be reflected in the</t>
  </si>
  <si>
    <t xml:space="preserve">   CCA Tax Shield and the Capital Tax which is originally calculated on the Gross Capital.</t>
  </si>
  <si>
    <t>The final Capital Contribution amount is calculated on worksheet "Contribtiuon CCA and Cap Tax".</t>
  </si>
  <si>
    <t>CCA Tax Shield on Gross Capital</t>
  </si>
  <si>
    <t xml:space="preserve">    of the Costs at cell P32 is used. </t>
  </si>
  <si>
    <t xml:space="preserve">  and the PV of the Revenues at cell E30 is used to calculate the Expansion Deposit otherwise the PV </t>
  </si>
  <si>
    <t>on Gross</t>
  </si>
  <si>
    <t>on Gross Capital</t>
  </si>
  <si>
    <t>Debt  Ratio</t>
  </si>
  <si>
    <t>Long</t>
  </si>
  <si>
    <t>Short</t>
  </si>
  <si>
    <t>Year Construction Energized</t>
  </si>
  <si>
    <t>Without LV, SM and Reg Assets</t>
  </si>
  <si>
    <t>Expansion Deposit Refund Breakdown - N/A</t>
  </si>
  <si>
    <t>OMADI</t>
  </si>
  <si>
    <t>This sheet calculates the OMADI expense for the project.  OMADI is determined on a per customer, per kWh, or per kW basis.  The OMADI value to use here is your most recent OEB RRR submission.  Dollars in future years can be input if known with certainty.</t>
  </si>
  <si>
    <t>Capital Class 1</t>
  </si>
  <si>
    <t>Capital Class 2</t>
  </si>
  <si>
    <t>Capital Class 3</t>
  </si>
  <si>
    <t>Capital Class 4</t>
  </si>
  <si>
    <t>Capital Class 5</t>
  </si>
  <si>
    <t>Capital Class 6</t>
  </si>
  <si>
    <t>Capital Class 7</t>
  </si>
  <si>
    <t>Capital Class 8</t>
  </si>
  <si>
    <t>OMADI/Customer</t>
  </si>
  <si>
    <t>The following indicates the inputs utilized that may or may not need adjustment during the 5 year construction horizon</t>
  </si>
  <si>
    <t>Capital Classes (USoA)</t>
  </si>
  <si>
    <t>Rate Class 9</t>
  </si>
  <si>
    <t>Rate Class 10</t>
  </si>
  <si>
    <t>Depreciation Rates %</t>
  </si>
  <si>
    <t>Capital Cost Allowance Rates %</t>
  </si>
  <si>
    <t>OMADI per Customer</t>
  </si>
  <si>
    <t>Accumulated Cust Connections</t>
  </si>
  <si>
    <t>Accumulated OMADI on per Customer Basis</t>
  </si>
  <si>
    <t>Depreciation Rates for Various Useful Lives</t>
  </si>
  <si>
    <t>Account</t>
  </si>
  <si>
    <t>Percentage</t>
  </si>
  <si>
    <t>Useful Life</t>
  </si>
  <si>
    <t>Distribution Station Equipment</t>
  </si>
  <si>
    <t>60 Year</t>
  </si>
  <si>
    <t>9 Year</t>
  </si>
  <si>
    <t>Poles, Towers, &amp; Fixtures</t>
  </si>
  <si>
    <t>50 Year</t>
  </si>
  <si>
    <t>8 Year</t>
  </si>
  <si>
    <t>Overhead Conductors &amp; Devices</t>
  </si>
  <si>
    <t>40 Year</t>
  </si>
  <si>
    <t>7 Year</t>
  </si>
  <si>
    <t>Underground Conduit</t>
  </si>
  <si>
    <t>30 Year</t>
  </si>
  <si>
    <t>6 Year</t>
  </si>
  <si>
    <t>Underground Conductors and Devices</t>
  </si>
  <si>
    <t>25 Year</t>
  </si>
  <si>
    <t>5 Year</t>
  </si>
  <si>
    <t>Line Transformers</t>
  </si>
  <si>
    <t>20 Year</t>
  </si>
  <si>
    <t>4 Year</t>
  </si>
  <si>
    <t>Services</t>
  </si>
  <si>
    <t>15 Year</t>
  </si>
  <si>
    <t>3 Year</t>
  </si>
  <si>
    <t>Meters</t>
  </si>
  <si>
    <t>10 Year</t>
  </si>
  <si>
    <t>2 Year</t>
  </si>
  <si>
    <t>SUMMARY</t>
  </si>
  <si>
    <t>Sheet modified for multiple rate classes.</t>
  </si>
  <si>
    <t>Actual Non-Contestable Capital Costs</t>
  </si>
  <si>
    <t>Total Non-Contestable Capital Costs</t>
  </si>
  <si>
    <t>Non Contestable Costs</t>
  </si>
  <si>
    <t xml:space="preserve">Expansion </t>
  </si>
  <si>
    <t>Jan 1st</t>
  </si>
  <si>
    <t>Dec 31st</t>
  </si>
  <si>
    <t>Increased</t>
  </si>
  <si>
    <t># of Customers</t>
  </si>
  <si>
    <t>Annual Kwh's</t>
  </si>
  <si>
    <t xml:space="preserve">Starting Year = </t>
  </si>
  <si>
    <t>SCHEDULE 'B' - 5 Year Rolling Average for OMADI by Rate Class</t>
  </si>
  <si>
    <t>Per Rate Class</t>
  </si>
  <si>
    <t>kWh/Customer</t>
  </si>
  <si>
    <t>1 Year</t>
  </si>
  <si>
    <t>OMADI Cost per Customer</t>
  </si>
  <si>
    <t>Other Installations on Customer Premises</t>
  </si>
  <si>
    <t>SCHEDULE 'A' - 5 Year Rolling Average for Consumption by Rate Class</t>
  </si>
  <si>
    <t xml:space="preserve">Assumptions </t>
  </si>
  <si>
    <t>This sheet is provided to assist in calculating a reasonable Consumption and OMADI number for use in the EE Model.</t>
  </si>
  <si>
    <t>Contribution CCA &amp; Cap Tax</t>
  </si>
  <si>
    <t>Versions</t>
  </si>
  <si>
    <t xml:space="preserve">Non-Contestable Costs revised to include asset classes and to clarify definitions.  Upstream Costs removed from model as per DSC Appendix B.  Assumptions sheet added for calculating a 5 year rolling average for Consumption and OMADI.  Minor updates and note changes. </t>
  </si>
  <si>
    <t xml:space="preserve">Inputs Sheet Updated to Include Depreciation and Interest.  OMADI Instructions Updated.  Inputs Sheet - Line 215 (kWh) and Line 216 (kW) eliminated.  IFRS Depreciation Rates added.  Minor updates and note changes. </t>
  </si>
  <si>
    <t>Capital Tax updated and Tax Shield Added.</t>
  </si>
  <si>
    <t>Capital Structure Updated.</t>
  </si>
  <si>
    <t>Developer Summary Updated.</t>
  </si>
  <si>
    <t>This sheet calculates the capital  &amp; CCA tax effect of capital contribution netting</t>
  </si>
  <si>
    <t>Transfer Price Payment if Developer Installed</t>
  </si>
  <si>
    <t>Total of Capital Costs installed at Developer's expense.</t>
  </si>
  <si>
    <t>Capital Class 1 - Non-Contestable Amounts</t>
  </si>
  <si>
    <t>Capital Class 2 - Non-Contestable Amounts</t>
  </si>
  <si>
    <t>Capital Class 3 - Non-Contestable Amounts</t>
  </si>
  <si>
    <t>Capital Class 4 - Non-Contestable Amounts</t>
  </si>
  <si>
    <t>Capital Class 6 - Non-Contestable Amounts</t>
  </si>
  <si>
    <t>Capital Class 7 - Non-Contestable Amounts</t>
  </si>
  <si>
    <t>Capital Class 8 - Non-Contestable Amounts</t>
  </si>
  <si>
    <t>Capital Class 9 - Non-Contestable Amounts</t>
  </si>
  <si>
    <t>Capital Class 10 - Non-Contestable Amounts</t>
  </si>
  <si>
    <t>Financial Assumptions - Non Contestable Costs</t>
  </si>
  <si>
    <t>See Important Comment in Cell B296</t>
  </si>
  <si>
    <t>% of Total</t>
  </si>
  <si>
    <t>Capacity(kW)</t>
  </si>
  <si>
    <t xml:space="preserve">OMADI </t>
  </si>
  <si>
    <t>Assumption Sheet - Builds a 5 Year Rolling Average for Consumption and OMADI</t>
  </si>
  <si>
    <t>Distribution Rev</t>
  </si>
  <si>
    <t xml:space="preserve">L = LDC Installed, D = Developer Installed </t>
  </si>
  <si>
    <r>
      <t xml:space="preserve">This </t>
    </r>
    <r>
      <rPr>
        <b/>
        <u/>
        <sz val="12"/>
        <color indexed="10"/>
        <rFont val="Arial"/>
        <family val="2"/>
      </rPr>
      <t>calculation</t>
    </r>
    <r>
      <rPr>
        <b/>
        <sz val="12"/>
        <rFont val="Arial"/>
        <family val="2"/>
      </rPr>
      <t xml:space="preserve"> and </t>
    </r>
    <r>
      <rPr>
        <b/>
        <u/>
        <sz val="12"/>
        <color indexed="10"/>
        <rFont val="Arial"/>
        <family val="2"/>
      </rPr>
      <t>transaction</t>
    </r>
    <r>
      <rPr>
        <b/>
        <sz val="12"/>
        <rFont val="Arial"/>
        <family val="2"/>
      </rPr>
      <t xml:space="preserve"> takes place when the </t>
    </r>
    <r>
      <rPr>
        <b/>
        <u/>
        <sz val="12"/>
        <color indexed="10"/>
        <rFont val="Arial"/>
        <family val="2"/>
      </rPr>
      <t>model is first run</t>
    </r>
    <r>
      <rPr>
        <b/>
        <sz val="12"/>
        <rFont val="Arial"/>
        <family val="2"/>
      </rPr>
      <t xml:space="preserve"> with estimated costs and updated at energization with actual costs.</t>
    </r>
  </si>
  <si>
    <r>
      <t xml:space="preserve">This </t>
    </r>
    <r>
      <rPr>
        <b/>
        <u/>
        <sz val="12"/>
        <color indexed="10"/>
        <rFont val="Arial"/>
        <family val="2"/>
      </rPr>
      <t>transaction</t>
    </r>
    <r>
      <rPr>
        <b/>
        <sz val="12"/>
        <rFont val="Arial"/>
        <family val="2"/>
      </rPr>
      <t xml:space="preserve"> takes place at </t>
    </r>
    <r>
      <rPr>
        <b/>
        <u/>
        <sz val="12"/>
        <color indexed="10"/>
        <rFont val="Arial"/>
        <family val="2"/>
      </rPr>
      <t>energization</t>
    </r>
    <r>
      <rPr>
        <b/>
        <sz val="12"/>
        <rFont val="Arial"/>
        <family val="2"/>
      </rPr>
      <t xml:space="preserve"> based on the actual costs of the project.</t>
    </r>
  </si>
  <si>
    <t>Residential</t>
  </si>
  <si>
    <t>GS &lt; 50</t>
  </si>
  <si>
    <t>GS &gt; 50</t>
  </si>
  <si>
    <t>USL</t>
  </si>
  <si>
    <t xml:space="preserve">all rate classes must be filled in or the results will be skewed.  </t>
  </si>
  <si>
    <t xml:space="preserve">Please Note:  </t>
  </si>
  <si>
    <t>When calculating OMADI, it is recommended that a 5 year rolling average by rate class be used unless a more reasonable estimate of OMADI can be determined.</t>
  </si>
  <si>
    <t>If the Annual OEB Yearbook data is not available, use the best available information for calculating the 5-year rolling average</t>
  </si>
  <si>
    <t xml:space="preserve">When calculating a 5-year rolling average for OMADI, it is recommended that the required data be taken from the Annual OEB yearbook. </t>
  </si>
  <si>
    <t xml:space="preserve">When calculating a 5-year rolling average for Consumption, it is recommended that the required data be taken from the Annual OEB yearbook. </t>
  </si>
  <si>
    <t>When calculating Consumption, it is recommended that a 5-year rolling average by rate class be used unless a more reasonable estimate of Consumption can be determined.</t>
  </si>
  <si>
    <t>5-Year Average</t>
  </si>
  <si>
    <t>1820 Distribution Station Equipment</t>
  </si>
  <si>
    <t>1830 Poles, Towers &amp; Fixtures</t>
  </si>
  <si>
    <t>1835 Overhead Conductors &amp; Devices</t>
  </si>
  <si>
    <t>1840 Underground Conduit</t>
  </si>
  <si>
    <t>1845 Underground Conductors &amp; Devices</t>
  </si>
  <si>
    <t>1850 Transformers</t>
  </si>
  <si>
    <t>1855 Services</t>
  </si>
  <si>
    <t>1860 Meters</t>
  </si>
  <si>
    <t>General Service &lt; 50</t>
  </si>
  <si>
    <t>General Service &gt; 50</t>
  </si>
  <si>
    <t xml:space="preserve">Unmetered Scattered Load </t>
  </si>
  <si>
    <r>
      <t xml:space="preserve">The example below shows how a 5-year rolling average is calculated using </t>
    </r>
    <r>
      <rPr>
        <b/>
        <sz val="10"/>
        <rFont val="Arial"/>
        <family val="2"/>
      </rPr>
      <t>theoretical data</t>
    </r>
    <r>
      <rPr>
        <b/>
        <sz val="10"/>
        <color indexed="10"/>
        <rFont val="Arial"/>
        <family val="2"/>
      </rPr>
      <t xml:space="preserve">.  Please note that </t>
    </r>
  </si>
  <si>
    <t>.</t>
  </si>
  <si>
    <t>From 2020 Cost of Capital Paramaters Letter</t>
  </si>
  <si>
    <t>Development Name</t>
  </si>
  <si>
    <t>LDC(L)/Developer(D) Installed?</t>
  </si>
  <si>
    <t>Energization Year</t>
  </si>
  <si>
    <r>
      <t xml:space="preserve">Calculated Expansion Deposit </t>
    </r>
    <r>
      <rPr>
        <b/>
        <sz val="10"/>
        <rFont val="Arial"/>
        <family val="2"/>
      </rPr>
      <t>(due to LDC prior to commencement of construction)</t>
    </r>
  </si>
  <si>
    <r>
      <t xml:space="preserve">Required Expansion Deposit </t>
    </r>
    <r>
      <rPr>
        <b/>
        <sz val="10"/>
        <rFont val="Arial"/>
        <family val="2"/>
      </rPr>
      <t>(Total Project Costs - Developer Capital Contribution)</t>
    </r>
  </si>
  <si>
    <r>
      <t>Warranty Holdback</t>
    </r>
    <r>
      <rPr>
        <b/>
        <sz val="9"/>
        <rFont val="Arial"/>
        <family val="2"/>
      </rPr>
      <t xml:space="preserve"> </t>
    </r>
    <r>
      <rPr>
        <b/>
        <sz val="7"/>
        <rFont val="Arial"/>
        <family val="2"/>
      </rPr>
      <t>(10% of Expansion Deposit for 2 years if Developer Installed - Based on "Required Expansion Deposit")</t>
    </r>
  </si>
  <si>
    <t>Inflation Factor</t>
  </si>
  <si>
    <t>Total Estimated Cost of Project</t>
  </si>
  <si>
    <t>THIS DOES NOT APPLY BASED ON OUR CALCULATION OF EXPANSION DEPOSIT</t>
  </si>
  <si>
    <t>THIS DOES NOT APPY</t>
  </si>
  <si>
    <t>Estimated Project Cost</t>
  </si>
  <si>
    <t>WE DO NOT USE THIS PAGE</t>
  </si>
  <si>
    <t>OFFER TO CONNECT SUMMARY</t>
  </si>
  <si>
    <r>
      <t xml:space="preserve">Estimated Per Connection Refund </t>
    </r>
    <r>
      <rPr>
        <b/>
        <sz val="10"/>
        <rFont val="Arial"/>
        <family val="2"/>
      </rPr>
      <t>(less 10% warranty holdback)</t>
    </r>
  </si>
  <si>
    <r>
      <t>Warranty Holdback</t>
    </r>
    <r>
      <rPr>
        <b/>
        <sz val="9"/>
        <rFont val="Arial"/>
        <family val="2"/>
      </rPr>
      <t xml:space="preserve"> </t>
    </r>
    <r>
      <rPr>
        <b/>
        <sz val="10"/>
        <rFont val="Arial"/>
        <family val="2"/>
      </rPr>
      <t>(10% of Expansion Deposit for 2 years if Developer Installed - Based on "Required Expansion Deposit")</t>
    </r>
  </si>
  <si>
    <t>Developer Contributed Capital</t>
  </si>
  <si>
    <t>*Includes Loblaws</t>
  </si>
  <si>
    <t>*Metered Data</t>
  </si>
  <si>
    <t>Expansion - Economic Evaluation Model 2022</t>
  </si>
  <si>
    <t>L</t>
  </si>
  <si>
    <t>Mosley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</si>
</sst>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quot;$&quot;#,##0"/>
    <numFmt numFmtId="44" formatCode="_-&quot;$&quot;* #,##0.00_-;\-&quot;$&quot;* #,##0.00_-;_-&quot;$&quot;* &quot;-&quot;??_-;_-@_-"/>
    <numFmt numFmtId="43" formatCode="_-* #,##0.00_-;\-* #,##0.00_-;_-* &quot;-&quot;??_-;_-@_-"/>
    <numFmt numFmtId="164" formatCode="&quot;$&quot;#,##0.00_);\(&quot;$&quot;#,##0.00\)"/>
    <numFmt numFmtId="165" formatCode="0.000000"/>
    <numFmt numFmtId="166" formatCode="0.000%"/>
    <numFmt numFmtId="167" formatCode="0.000"/>
    <numFmt numFmtId="168" formatCode="0.0000000000"/>
    <numFmt numFmtId="169" formatCode="&quot;$&quot;#,##0"/>
    <numFmt numFmtId="170" formatCode="&quot;$&quot;#,##0.00"/>
    <numFmt numFmtId="171" formatCode="#,##0_ ;[Red]\-#,##0\ "/>
    <numFmt numFmtId="172" formatCode="&quot;$&quot;#,##0.0000"/>
    <numFmt numFmtId="173" formatCode="0.0%"/>
    <numFmt numFmtId="174" formatCode="0.0000"/>
    <numFmt numFmtId="175" formatCode="0.0"/>
    <numFmt numFmtId="176" formatCode="0.0000%"/>
    <numFmt numFmtId="177" formatCode="#,##0.0"/>
    <numFmt numFmtId="178" formatCode="[$-409]dd\-mmm\-yy;@"/>
    <numFmt numFmtId="179" formatCode="0.000000_);\(0.000000\)"/>
    <numFmt numFmtId="180" formatCode="[$-1009]d\-mmm\-yy;@"/>
    <numFmt numFmtId="181" formatCode="_-[$$-1009]* #,##0.00_-;\-[$$-1009]* #,##0.00_-;_-[$$-1009]* &quot;-&quot;??_-;_-@_-"/>
    <numFmt numFmtId="182" formatCode="_-[$$-409]* #,##0.00_ ;_-[$$-409]* \-#,##0.00\ ;_-[$$-409]* &quot;-&quot;??_ ;_-@_ "/>
    <numFmt numFmtId="183" formatCode="_-[$$-1009]* #,##0_-;\-[$$-1009]* #,##0_-;_-[$$-1009]* &quot;-&quot;??_-;_-@_-"/>
    <numFmt numFmtId="184" formatCode="#,##0.00_ ;[Red]\-#,##0.00\ "/>
    <numFmt numFmtId="185" formatCode="#,##0.0000"/>
  </numFmts>
  <fonts count="43" x14ac:knownFonts="1">
    <font>
      <sz val="10"/>
      <name val="Arial"/>
    </font>
    <font>
      <b/>
      <sz val="10"/>
      <name val="Arial"/>
      <family val="2"/>
    </font>
    <font>
      <u/>
      <sz val="10"/>
      <name val="Arial"/>
      <family val="2"/>
    </font>
    <font>
      <b/>
      <sz val="14"/>
      <name val="Arial"/>
      <family val="2"/>
    </font>
    <font>
      <i/>
      <sz val="10"/>
      <name val="Arial"/>
      <family val="2"/>
    </font>
    <font>
      <i/>
      <sz val="12"/>
      <name val="Arial"/>
      <family val="2"/>
    </font>
    <font>
      <sz val="12"/>
      <name val="Arial"/>
      <family val="2"/>
    </font>
    <font>
      <b/>
      <sz val="16"/>
      <name val="Arial"/>
      <family val="2"/>
    </font>
    <font>
      <sz val="10"/>
      <color indexed="39"/>
      <name val="Arial"/>
      <family val="2"/>
    </font>
    <font>
      <sz val="10"/>
      <name val="Arial"/>
      <family val="2"/>
    </font>
    <font>
      <b/>
      <sz val="10"/>
      <name val="Arial"/>
      <family val="2"/>
    </font>
    <font>
      <b/>
      <sz val="12"/>
      <name val="Arial"/>
      <family val="2"/>
    </font>
    <font>
      <b/>
      <sz val="11"/>
      <name val="Arial"/>
      <family val="2"/>
    </font>
    <font>
      <u/>
      <sz val="10"/>
      <name val="Arial"/>
      <family val="2"/>
    </font>
    <font>
      <b/>
      <sz val="18"/>
      <name val="Arial"/>
      <family val="2"/>
    </font>
    <font>
      <sz val="12"/>
      <name val="Arial"/>
      <family val="2"/>
    </font>
    <font>
      <sz val="8"/>
      <name val="Arial"/>
      <family val="2"/>
    </font>
    <font>
      <b/>
      <sz val="10"/>
      <color indexed="10"/>
      <name val="Arial"/>
      <family val="2"/>
    </font>
    <font>
      <b/>
      <sz val="14"/>
      <name val="Arial"/>
      <family val="2"/>
    </font>
    <font>
      <b/>
      <sz val="13"/>
      <name val="Arial"/>
      <family val="2"/>
    </font>
    <font>
      <sz val="11"/>
      <name val="Arial"/>
      <family val="2"/>
    </font>
    <font>
      <sz val="8"/>
      <color indexed="81"/>
      <name val="Tahoma"/>
      <family val="2"/>
    </font>
    <font>
      <b/>
      <sz val="8"/>
      <color indexed="81"/>
      <name val="Tahoma"/>
      <family val="2"/>
    </font>
    <font>
      <b/>
      <sz val="9"/>
      <name val="Arial"/>
      <family val="2"/>
    </font>
    <font>
      <b/>
      <u/>
      <sz val="10"/>
      <name val="Arial"/>
      <family val="2"/>
    </font>
    <font>
      <sz val="14"/>
      <name val="Arial"/>
      <family val="2"/>
    </font>
    <font>
      <b/>
      <u/>
      <sz val="9"/>
      <name val="Arial"/>
      <family val="2"/>
    </font>
    <font>
      <b/>
      <u/>
      <sz val="12"/>
      <name val="Arial"/>
      <family val="2"/>
    </font>
    <font>
      <sz val="10"/>
      <name val="Arial"/>
      <family val="2"/>
    </font>
    <font>
      <sz val="9"/>
      <color indexed="81"/>
      <name val="Tahoma"/>
      <family val="2"/>
    </font>
    <font>
      <sz val="10"/>
      <name val="Arial"/>
      <family val="2"/>
    </font>
    <font>
      <sz val="10"/>
      <name val="Arial"/>
      <family val="2"/>
    </font>
    <font>
      <sz val="12"/>
      <color indexed="9"/>
      <name val="Arial"/>
      <family val="2"/>
    </font>
    <font>
      <sz val="10"/>
      <color indexed="8"/>
      <name val="Arial"/>
      <family val="2"/>
    </font>
    <font>
      <b/>
      <i/>
      <sz val="14"/>
      <name val="Arial"/>
      <family val="2"/>
    </font>
    <font>
      <b/>
      <u/>
      <sz val="12"/>
      <color indexed="10"/>
      <name val="Arial"/>
      <family val="2"/>
    </font>
    <font>
      <b/>
      <i/>
      <sz val="10"/>
      <color rgb="FF7030A0"/>
      <name val="Arial"/>
      <family val="2"/>
    </font>
    <font>
      <b/>
      <sz val="10"/>
      <color rgb="FFFF0000"/>
      <name val="Arial"/>
      <family val="2"/>
    </font>
    <font>
      <b/>
      <sz val="11"/>
      <color theme="7"/>
      <name val="Arial"/>
      <family val="2"/>
    </font>
    <font>
      <u/>
      <sz val="12"/>
      <name val="Arial"/>
      <family val="2"/>
    </font>
    <font>
      <b/>
      <u/>
      <sz val="12"/>
      <color rgb="FFFF0000"/>
      <name val="Arial"/>
      <family val="2"/>
    </font>
    <font>
      <b/>
      <sz val="7"/>
      <name val="Arial"/>
      <family val="2"/>
    </font>
    <font>
      <b/>
      <sz val="24"/>
      <name val="Arial"/>
      <family val="2"/>
    </font>
  </fonts>
  <fills count="22">
    <fill>
      <patternFill patternType="none"/>
    </fill>
    <fill>
      <patternFill patternType="gray125"/>
    </fill>
    <fill>
      <patternFill patternType="solid">
        <fgColor indexed="13"/>
        <bgColor indexed="9"/>
      </patternFill>
    </fill>
    <fill>
      <patternFill patternType="solid">
        <fgColor indexed="13"/>
        <bgColor indexed="64"/>
      </patternFill>
    </fill>
    <fill>
      <patternFill patternType="solid">
        <fgColor indexed="42"/>
        <bgColor indexed="9"/>
      </patternFill>
    </fill>
    <fill>
      <patternFill patternType="solid">
        <fgColor indexed="14"/>
        <bgColor indexed="9"/>
      </patternFill>
    </fill>
    <fill>
      <patternFill patternType="solid">
        <fgColor indexed="14"/>
        <bgColor indexed="64"/>
      </patternFill>
    </fill>
    <fill>
      <patternFill patternType="solid">
        <fgColor indexed="47"/>
        <bgColor indexed="9"/>
      </patternFill>
    </fill>
    <fill>
      <patternFill patternType="solid">
        <fgColor theme="0" tint="-0.14999847407452621"/>
        <bgColor indexed="9"/>
      </patternFill>
    </fill>
    <fill>
      <patternFill patternType="solid">
        <fgColor theme="0" tint="-0.14999847407452621"/>
        <bgColor indexed="64"/>
      </patternFill>
    </fill>
    <fill>
      <patternFill patternType="solid">
        <fgColor rgb="FFFF00FF"/>
        <bgColor indexed="9"/>
      </patternFill>
    </fill>
    <fill>
      <patternFill patternType="solid">
        <fgColor theme="4" tint="0.39994506668294322"/>
        <bgColor indexed="9"/>
      </patternFill>
    </fill>
    <fill>
      <patternFill patternType="solid">
        <fgColor rgb="FFFFFF00"/>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rgb="FF92D050"/>
        <bgColor indexed="2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249977111117893"/>
        <bgColor indexed="9"/>
      </patternFill>
    </fill>
    <fill>
      <patternFill patternType="solid">
        <fgColor theme="0"/>
        <bgColor indexed="64"/>
      </patternFill>
    </fill>
    <fill>
      <patternFill patternType="solid">
        <fgColor theme="0"/>
        <bgColor indexed="9"/>
      </patternFill>
    </fill>
  </fills>
  <borders count="28">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s>
  <cellStyleXfs count="14">
    <xf numFmtId="0" fontId="0" fillId="0" borderId="0">
      <alignment vertical="top"/>
    </xf>
    <xf numFmtId="4" fontId="28" fillId="0" borderId="0" applyFont="0" applyFill="0" applyBorder="0" applyAlignment="0" applyProtection="0"/>
    <xf numFmtId="43" fontId="9" fillId="0" borderId="0" applyFont="0" applyFill="0" applyBorder="0" applyAlignment="0" applyProtection="0"/>
    <xf numFmtId="4" fontId="9" fillId="0" borderId="0" applyFont="0" applyFill="0" applyBorder="0" applyAlignment="0" applyProtection="0"/>
    <xf numFmtId="3" fontId="28" fillId="0" borderId="0" applyFont="0" applyFill="0" applyBorder="0" applyAlignment="0" applyProtection="0"/>
    <xf numFmtId="3" fontId="9" fillId="0" borderId="0" applyFont="0" applyFill="0" applyBorder="0" applyAlignment="0" applyProtection="0"/>
    <xf numFmtId="0" fontId="28" fillId="0" borderId="0" applyFont="0" applyFill="0" applyBorder="0" applyAlignment="0" applyProtection="0"/>
    <xf numFmtId="44" fontId="9" fillId="0" borderId="0" applyFont="0" applyFill="0" applyBorder="0" applyAlignment="0" applyProtection="0"/>
    <xf numFmtId="0" fontId="9" fillId="0" borderId="0" applyFont="0" applyFill="0" applyBorder="0" applyAlignment="0" applyProtection="0"/>
    <xf numFmtId="0" fontId="28" fillId="0" borderId="0" applyFont="0" applyFill="0" applyBorder="0" applyAlignment="0" applyProtection="0"/>
    <xf numFmtId="0" fontId="9" fillId="0" borderId="0" applyFont="0" applyFill="0" applyBorder="0" applyAlignment="0" applyProtection="0"/>
    <xf numFmtId="0" fontId="33" fillId="0" borderId="0"/>
    <xf numFmtId="9" fontId="28" fillId="0" borderId="0" applyFont="0" applyFill="0" applyBorder="0" applyAlignment="0" applyProtection="0"/>
    <xf numFmtId="9" fontId="9" fillId="0" borderId="0" applyFont="0" applyFill="0" applyBorder="0" applyAlignment="0" applyProtection="0"/>
  </cellStyleXfs>
  <cellXfs count="386">
    <xf numFmtId="0" fontId="0" fillId="0" borderId="0" xfId="0" applyAlignment="1"/>
    <xf numFmtId="168" fontId="0" fillId="0" borderId="0" xfId="0" applyNumberFormat="1" applyAlignment="1"/>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xf>
    <xf numFmtId="169" fontId="0" fillId="0" borderId="0" xfId="0" applyNumberFormat="1" applyAlignment="1">
      <alignment horizontal="center"/>
    </xf>
    <xf numFmtId="0" fontId="10" fillId="0" borderId="0" xfId="0" applyFont="1" applyAlignment="1">
      <alignment horizontal="left"/>
    </xf>
    <xf numFmtId="0" fontId="12" fillId="0" borderId="0" xfId="0" applyFont="1" applyAlignment="1"/>
    <xf numFmtId="0" fontId="11" fillId="0" borderId="0" xfId="0" applyFont="1" applyAlignment="1"/>
    <xf numFmtId="0" fontId="0" fillId="2" borderId="0" xfId="0" applyFill="1" applyAlignment="1"/>
    <xf numFmtId="0" fontId="13" fillId="0" borderId="0" xfId="0" applyFont="1" applyAlignment="1">
      <alignment horizontal="center"/>
    </xf>
    <xf numFmtId="0" fontId="10" fillId="0" borderId="0" xfId="0" applyFont="1" applyAlignment="1"/>
    <xf numFmtId="0" fontId="9" fillId="0" borderId="0" xfId="0" applyFont="1" applyAlignment="1"/>
    <xf numFmtId="0" fontId="11" fillId="0" borderId="0" xfId="0" applyFont="1" applyAlignment="1">
      <alignment horizontal="left"/>
    </xf>
    <xf numFmtId="0" fontId="9" fillId="0" borderId="0" xfId="0" applyFont="1" applyAlignment="1">
      <alignment horizontal="center"/>
    </xf>
    <xf numFmtId="170" fontId="0" fillId="2" borderId="0" xfId="0" applyNumberFormat="1" applyFill="1" applyAlignment="1"/>
    <xf numFmtId="172" fontId="0" fillId="2" borderId="0" xfId="0" applyNumberFormat="1" applyFill="1" applyAlignment="1"/>
    <xf numFmtId="170" fontId="0" fillId="2" borderId="0" xfId="0" applyNumberFormat="1" applyFill="1" applyAlignment="1">
      <alignment horizontal="right"/>
    </xf>
    <xf numFmtId="169" fontId="0" fillId="0" borderId="0" xfId="0" applyNumberFormat="1" applyAlignment="1"/>
    <xf numFmtId="0" fontId="13" fillId="0" borderId="0" xfId="0" applyFont="1" applyAlignment="1"/>
    <xf numFmtId="0" fontId="0" fillId="0" borderId="0" xfId="0" applyAlignment="1">
      <alignment horizontal="left"/>
    </xf>
    <xf numFmtId="170" fontId="9" fillId="0" borderId="0" xfId="0" applyNumberFormat="1" applyFont="1" applyAlignment="1">
      <alignment horizontal="center"/>
    </xf>
    <xf numFmtId="172" fontId="9" fillId="0" borderId="0" xfId="0" applyNumberFormat="1" applyFont="1" applyAlignment="1">
      <alignment horizontal="center"/>
    </xf>
    <xf numFmtId="3" fontId="9" fillId="0" borderId="0" xfId="0" applyNumberFormat="1" applyFont="1" applyAlignment="1">
      <alignment horizontal="center"/>
    </xf>
    <xf numFmtId="9" fontId="0" fillId="0" borderId="0" xfId="0" applyNumberFormat="1" applyAlignment="1">
      <alignment horizontal="center"/>
    </xf>
    <xf numFmtId="170" fontId="0" fillId="0" borderId="0" xfId="0" applyNumberFormat="1" applyAlignment="1"/>
    <xf numFmtId="3" fontId="0" fillId="0" borderId="0" xfId="0" applyNumberFormat="1" applyAlignment="1"/>
    <xf numFmtId="0" fontId="0" fillId="0" borderId="0" xfId="0" applyAlignment="1">
      <alignment horizontal="centerContinuous"/>
    </xf>
    <xf numFmtId="165" fontId="0" fillId="0" borderId="0" xfId="0" applyNumberFormat="1" applyAlignment="1"/>
    <xf numFmtId="167" fontId="0" fillId="0" borderId="0" xfId="0" applyNumberFormat="1" applyAlignment="1">
      <alignment horizontal="centerContinuous"/>
    </xf>
    <xf numFmtId="10" fontId="0" fillId="0" borderId="0" xfId="0" applyNumberFormat="1" applyAlignment="1"/>
    <xf numFmtId="5" fontId="0" fillId="0" borderId="0" xfId="0" applyNumberFormat="1" applyAlignment="1"/>
    <xf numFmtId="0" fontId="1" fillId="0" borderId="0" xfId="0" applyFont="1" applyAlignment="1"/>
    <xf numFmtId="0" fontId="4" fillId="0" borderId="0" xfId="0" applyFont="1" applyAlignment="1">
      <alignment horizontal="center"/>
    </xf>
    <xf numFmtId="3" fontId="8" fillId="0" borderId="0" xfId="0" applyNumberFormat="1" applyFont="1" applyAlignment="1" applyProtection="1">
      <alignment horizontal="center"/>
      <protection locked="0"/>
    </xf>
    <xf numFmtId="3" fontId="0" fillId="0" borderId="0" xfId="0" applyNumberFormat="1" applyAlignment="1">
      <alignment horizontal="center"/>
    </xf>
    <xf numFmtId="169" fontId="5" fillId="0" borderId="0" xfId="0" applyNumberFormat="1" applyFont="1" applyAlignment="1" applyProtection="1">
      <alignment horizontal="center"/>
      <protection locked="0"/>
    </xf>
    <xf numFmtId="169" fontId="8" fillId="0" borderId="0" xfId="0" applyNumberFormat="1" applyFont="1" applyAlignment="1" applyProtection="1">
      <alignment horizontal="center"/>
      <protection locked="0"/>
    </xf>
    <xf numFmtId="169" fontId="4" fillId="0" borderId="0" xfId="0" applyNumberFormat="1" applyFont="1" applyAlignment="1">
      <alignment horizontal="center"/>
    </xf>
    <xf numFmtId="174" fontId="0" fillId="0" borderId="0" xfId="0" applyNumberFormat="1" applyAlignment="1">
      <alignment horizontal="center"/>
    </xf>
    <xf numFmtId="10" fontId="0" fillId="0" borderId="0" xfId="0" applyNumberFormat="1" applyAlignment="1">
      <alignment horizontal="center"/>
    </xf>
    <xf numFmtId="174" fontId="0" fillId="0" borderId="0" xfId="0" applyNumberFormat="1" applyAlignment="1"/>
    <xf numFmtId="165" fontId="0" fillId="0" borderId="0" xfId="0" applyNumberFormat="1" applyAlignment="1">
      <alignment horizontal="center"/>
    </xf>
    <xf numFmtId="0" fontId="14" fillId="0" borderId="0" xfId="0" applyFont="1" applyAlignment="1"/>
    <xf numFmtId="0" fontId="3" fillId="0" borderId="0" xfId="0" applyFont="1" applyAlignment="1"/>
    <xf numFmtId="0" fontId="11" fillId="0" borderId="0" xfId="0" applyFont="1" applyAlignment="1">
      <alignment horizontal="left" vertical="top"/>
    </xf>
    <xf numFmtId="0" fontId="7" fillId="0" borderId="0" xfId="0" applyFont="1" applyAlignment="1">
      <alignment horizontal="left"/>
    </xf>
    <xf numFmtId="0" fontId="3" fillId="0" borderId="0" xfId="0" applyFont="1" applyAlignment="1">
      <alignment horizontal="left"/>
    </xf>
    <xf numFmtId="0" fontId="15" fillId="0" borderId="0" xfId="0" applyFont="1" applyAlignment="1">
      <alignment horizontal="left" vertical="top" wrapText="1"/>
    </xf>
    <xf numFmtId="0" fontId="0" fillId="2" borderId="0" xfId="0" applyFill="1" applyAlignment="1">
      <alignment horizontal="center"/>
    </xf>
    <xf numFmtId="169" fontId="9" fillId="0" borderId="0" xfId="0" applyNumberFormat="1" applyFont="1" applyAlignment="1">
      <alignment horizontal="center"/>
    </xf>
    <xf numFmtId="0" fontId="9" fillId="0" borderId="0" xfId="0" applyFont="1" applyAlignment="1">
      <alignment horizontal="center" wrapText="1"/>
    </xf>
    <xf numFmtId="1" fontId="9" fillId="0" borderId="0" xfId="0" applyNumberFormat="1" applyFont="1" applyAlignment="1">
      <alignment horizontal="center" wrapText="1"/>
    </xf>
    <xf numFmtId="0" fontId="9" fillId="0" borderId="0" xfId="0" applyFont="1" applyAlignment="1">
      <alignment wrapText="1"/>
    </xf>
    <xf numFmtId="0" fontId="9" fillId="0" borderId="0" xfId="0" applyFont="1" applyAlignment="1">
      <alignment horizontal="centerContinuous" wrapText="1"/>
    </xf>
    <xf numFmtId="3" fontId="9" fillId="0" borderId="0" xfId="0" applyNumberFormat="1" applyFont="1" applyAlignment="1"/>
    <xf numFmtId="170" fontId="0" fillId="0" borderId="0" xfId="0" applyNumberFormat="1" applyAlignment="1">
      <alignment horizontal="right"/>
    </xf>
    <xf numFmtId="37" fontId="0" fillId="2" borderId="0" xfId="0" applyNumberFormat="1" applyFill="1" applyAlignment="1"/>
    <xf numFmtId="172" fontId="0" fillId="0" borderId="0" xfId="0" applyNumberFormat="1" applyAlignment="1"/>
    <xf numFmtId="37" fontId="9" fillId="0" borderId="0" xfId="0" applyNumberFormat="1" applyFont="1" applyAlignment="1">
      <alignment horizontal="center"/>
    </xf>
    <xf numFmtId="1" fontId="9" fillId="0" borderId="0" xfId="0" applyNumberFormat="1" applyFont="1" applyAlignment="1">
      <alignment horizontal="center"/>
    </xf>
    <xf numFmtId="37" fontId="0" fillId="0" borderId="0" xfId="0" applyNumberFormat="1" applyAlignment="1"/>
    <xf numFmtId="170" fontId="0" fillId="0" borderId="0" xfId="0" applyNumberFormat="1" applyAlignment="1">
      <alignment horizontal="center"/>
    </xf>
    <xf numFmtId="0" fontId="0" fillId="0" borderId="0" xfId="0" applyAlignment="1">
      <alignment horizontal="right"/>
    </xf>
    <xf numFmtId="173" fontId="0" fillId="0" borderId="0" xfId="0" applyNumberFormat="1" applyAlignment="1">
      <alignment horizontal="center"/>
    </xf>
    <xf numFmtId="0" fontId="0" fillId="3" borderId="0" xfId="0" applyFill="1" applyAlignment="1"/>
    <xf numFmtId="176" fontId="0" fillId="0" borderId="0" xfId="0" applyNumberFormat="1" applyAlignment="1">
      <alignment horizontal="center"/>
    </xf>
    <xf numFmtId="2" fontId="0" fillId="2" borderId="0" xfId="0" applyNumberFormat="1" applyFill="1" applyAlignment="1">
      <alignment horizontal="right"/>
    </xf>
    <xf numFmtId="0" fontId="13" fillId="0" borderId="0" xfId="0" applyFont="1" applyAlignment="1">
      <alignment horizontal="right"/>
    </xf>
    <xf numFmtId="10" fontId="9" fillId="0" borderId="0" xfId="0" applyNumberFormat="1" applyFont="1" applyAlignment="1">
      <alignment horizontal="center"/>
    </xf>
    <xf numFmtId="0" fontId="0" fillId="0" borderId="0" xfId="0">
      <alignment vertical="top"/>
    </xf>
    <xf numFmtId="10" fontId="0" fillId="0" borderId="0" xfId="0" applyNumberFormat="1">
      <alignment vertical="top"/>
    </xf>
    <xf numFmtId="174" fontId="0" fillId="0" borderId="0" xfId="0" applyNumberFormat="1">
      <alignment vertical="top"/>
    </xf>
    <xf numFmtId="10" fontId="9" fillId="0" borderId="0" xfId="0" applyNumberFormat="1" applyFont="1" applyAlignment="1">
      <alignment horizontal="right"/>
    </xf>
    <xf numFmtId="176" fontId="9" fillId="0" borderId="0" xfId="0" applyNumberFormat="1" applyFont="1" applyAlignment="1">
      <alignment horizontal="center"/>
    </xf>
    <xf numFmtId="0" fontId="0" fillId="0" borderId="0" xfId="0" applyAlignment="1">
      <alignment horizontal="center" wrapText="1"/>
    </xf>
    <xf numFmtId="169" fontId="0" fillId="0" borderId="0" xfId="0" applyNumberFormat="1" applyAlignment="1">
      <alignment horizontal="left"/>
    </xf>
    <xf numFmtId="9" fontId="0" fillId="0" borderId="0" xfId="12" applyFont="1"/>
    <xf numFmtId="169" fontId="0" fillId="0" borderId="0" xfId="6" applyNumberFormat="1" applyFont="1"/>
    <xf numFmtId="0" fontId="17" fillId="0" borderId="0" xfId="0" applyFont="1" applyAlignment="1"/>
    <xf numFmtId="0" fontId="10" fillId="4" borderId="0" xfId="0" applyFont="1" applyFill="1" applyAlignment="1"/>
    <xf numFmtId="0" fontId="18" fillId="0" borderId="0" xfId="0" applyFont="1" applyAlignment="1"/>
    <xf numFmtId="0" fontId="19" fillId="0" borderId="0" xfId="0" applyFont="1" applyAlignment="1"/>
    <xf numFmtId="0" fontId="18" fillId="0" borderId="0" xfId="0" applyFont="1" applyAlignment="1">
      <alignment horizontal="left"/>
    </xf>
    <xf numFmtId="0" fontId="20" fillId="0" borderId="0" xfId="0" applyFont="1" applyAlignment="1">
      <alignment horizontal="center"/>
    </xf>
    <xf numFmtId="9" fontId="0" fillId="0" borderId="1" xfId="0" applyNumberFormat="1" applyBorder="1" applyAlignment="1">
      <alignment horizontal="center"/>
    </xf>
    <xf numFmtId="0" fontId="0" fillId="4" borderId="0" xfId="0" applyFill="1" applyAlignment="1">
      <alignment horizontal="center"/>
    </xf>
    <xf numFmtId="0" fontId="12" fillId="4" borderId="0" xfId="0" applyFont="1" applyFill="1" applyAlignment="1"/>
    <xf numFmtId="0" fontId="2" fillId="0" borderId="0" xfId="0" applyFont="1" applyAlignment="1">
      <alignment horizontal="center"/>
    </xf>
    <xf numFmtId="49" fontId="0" fillId="0" borderId="0" xfId="0" applyNumberFormat="1" applyAlignment="1"/>
    <xf numFmtId="0" fontId="23" fillId="0" borderId="0" xfId="0" applyFont="1" applyAlignment="1"/>
    <xf numFmtId="175" fontId="0" fillId="0" borderId="0" xfId="0" applyNumberFormat="1" applyAlignment="1"/>
    <xf numFmtId="10" fontId="0" fillId="0" borderId="0" xfId="12" applyNumberFormat="1" applyFont="1"/>
    <xf numFmtId="2" fontId="0" fillId="0" borderId="1" xfId="0" applyNumberFormat="1" applyBorder="1" applyAlignment="1"/>
    <xf numFmtId="175" fontId="0" fillId="0" borderId="1" xfId="0" applyNumberFormat="1" applyBorder="1" applyAlignment="1"/>
    <xf numFmtId="10" fontId="0" fillId="0" borderId="1" xfId="12" applyNumberFormat="1" applyFont="1" applyBorder="1"/>
    <xf numFmtId="4" fontId="0" fillId="0" borderId="0" xfId="0" applyNumberFormat="1" applyAlignment="1">
      <alignment horizontal="center"/>
    </xf>
    <xf numFmtId="0" fontId="13" fillId="2" borderId="0" xfId="0" applyFont="1" applyFill="1" applyAlignment="1">
      <alignment horizontal="center"/>
    </xf>
    <xf numFmtId="169" fontId="0" fillId="2" borderId="0" xfId="6" applyNumberFormat="1" applyFont="1" applyFill="1" applyAlignment="1">
      <alignment horizontal="center"/>
    </xf>
    <xf numFmtId="3" fontId="0" fillId="2" borderId="0" xfId="1" applyNumberFormat="1" applyFont="1" applyFill="1" applyAlignment="1">
      <alignment horizontal="center"/>
    </xf>
    <xf numFmtId="3" fontId="0" fillId="2" borderId="0" xfId="1" applyNumberFormat="1" applyFont="1" applyFill="1"/>
    <xf numFmtId="3" fontId="0" fillId="2" borderId="0" xfId="1" applyNumberFormat="1" applyFont="1" applyFill="1" applyBorder="1" applyAlignment="1">
      <alignment horizontal="center"/>
    </xf>
    <xf numFmtId="0" fontId="24" fillId="0" borderId="0" xfId="0" applyFont="1" applyAlignment="1">
      <alignment horizontal="center"/>
    </xf>
    <xf numFmtId="2" fontId="0" fillId="0" borderId="0" xfId="0" applyNumberFormat="1" applyAlignment="1"/>
    <xf numFmtId="0" fontId="25" fillId="0" borderId="0" xfId="0" applyFont="1" applyAlignment="1"/>
    <xf numFmtId="0" fontId="18" fillId="4" borderId="0" xfId="0" applyFont="1" applyFill="1" applyAlignment="1"/>
    <xf numFmtId="0" fontId="0" fillId="4" borderId="0" xfId="0" applyFill="1" applyAlignment="1"/>
    <xf numFmtId="178" fontId="0" fillId="0" borderId="0" xfId="0" applyNumberFormat="1" applyAlignment="1">
      <alignment horizontal="center"/>
    </xf>
    <xf numFmtId="0" fontId="24" fillId="0" borderId="0" xfId="0" applyFont="1" applyAlignment="1"/>
    <xf numFmtId="49" fontId="10" fillId="0" borderId="0" xfId="0" applyNumberFormat="1" applyFont="1" applyAlignment="1">
      <alignment horizontal="left"/>
    </xf>
    <xf numFmtId="169" fontId="10" fillId="0" borderId="0" xfId="0" applyNumberFormat="1" applyFont="1" applyAlignment="1">
      <alignment horizontal="center"/>
    </xf>
    <xf numFmtId="0" fontId="24" fillId="0" borderId="0" xfId="0" applyFont="1" applyAlignment="1">
      <alignment horizontal="center" wrapText="1"/>
    </xf>
    <xf numFmtId="0" fontId="27" fillId="0" borderId="0" xfId="0" applyFont="1" applyAlignment="1">
      <alignment horizontal="center"/>
    </xf>
    <xf numFmtId="0" fontId="11" fillId="4" borderId="0" xfId="0" applyFont="1" applyFill="1">
      <alignment vertical="top"/>
    </xf>
    <xf numFmtId="0" fontId="15" fillId="0" borderId="0" xfId="0" applyFont="1" applyAlignment="1"/>
    <xf numFmtId="0" fontId="11" fillId="4" borderId="0" xfId="0" applyFont="1" applyFill="1" applyAlignment="1"/>
    <xf numFmtId="2" fontId="0" fillId="0" borderId="0" xfId="0" applyNumberFormat="1" applyAlignment="1">
      <alignment horizontal="right"/>
    </xf>
    <xf numFmtId="0" fontId="0" fillId="5" borderId="0" xfId="0" applyFill="1" applyAlignment="1"/>
    <xf numFmtId="0" fontId="9" fillId="6" borderId="0" xfId="0" applyFont="1" applyFill="1" applyAlignment="1">
      <alignment horizontal="center" wrapText="1"/>
    </xf>
    <xf numFmtId="169" fontId="10" fillId="0" borderId="0" xfId="0" applyNumberFormat="1" applyFont="1" applyAlignment="1"/>
    <xf numFmtId="0" fontId="0" fillId="0" borderId="2" xfId="0" applyBorder="1" applyAlignment="1">
      <alignment horizontal="left" indent="1"/>
    </xf>
    <xf numFmtId="0" fontId="10" fillId="0" borderId="0" xfId="0" applyFont="1" applyAlignment="1">
      <alignment horizontal="center"/>
    </xf>
    <xf numFmtId="179" fontId="0" fillId="0" borderId="0" xfId="0" applyNumberFormat="1" applyAlignment="1"/>
    <xf numFmtId="0" fontId="10" fillId="0" borderId="2" xfId="0" applyFont="1" applyBorder="1" applyAlignment="1">
      <alignment horizontal="left" indent="1"/>
    </xf>
    <xf numFmtId="0" fontId="10" fillId="0" borderId="2" xfId="0" applyFont="1" applyBorder="1" applyAlignment="1"/>
    <xf numFmtId="0" fontId="10" fillId="0" borderId="3" xfId="0" applyFont="1" applyBorder="1" applyAlignment="1">
      <alignment horizontal="left"/>
    </xf>
    <xf numFmtId="0" fontId="10" fillId="0" borderId="3" xfId="0" applyFont="1" applyBorder="1" applyAlignment="1">
      <alignment horizontal="center"/>
    </xf>
    <xf numFmtId="0" fontId="0" fillId="0" borderId="3" xfId="0" applyBorder="1" applyAlignment="1"/>
    <xf numFmtId="176" fontId="0" fillId="0" borderId="0" xfId="12" applyNumberFormat="1" applyFont="1"/>
    <xf numFmtId="176" fontId="0" fillId="0" borderId="0" xfId="0" applyNumberFormat="1" applyAlignment="1"/>
    <xf numFmtId="170" fontId="0" fillId="0" borderId="0" xfId="6" applyNumberFormat="1" applyFont="1" applyFill="1"/>
    <xf numFmtId="0" fontId="9" fillId="3" borderId="0" xfId="0" applyFont="1" applyFill="1" applyAlignment="1"/>
    <xf numFmtId="4" fontId="0" fillId="2" borderId="0" xfId="1" applyFont="1" applyFill="1" applyAlignment="1">
      <alignment horizontal="center"/>
    </xf>
    <xf numFmtId="9" fontId="0" fillId="0" borderId="0" xfId="12" applyFont="1" applyFill="1" applyAlignment="1">
      <alignment horizontal="right"/>
    </xf>
    <xf numFmtId="0" fontId="18" fillId="8" borderId="0" xfId="0" applyFont="1" applyFill="1">
      <alignment vertical="top"/>
    </xf>
    <xf numFmtId="0" fontId="0" fillId="9" borderId="0" xfId="0" applyFill="1" applyAlignment="1"/>
    <xf numFmtId="0" fontId="0" fillId="8" borderId="0" xfId="0" applyFill="1" applyAlignment="1"/>
    <xf numFmtId="0" fontId="15" fillId="9" borderId="0" xfId="0" applyFont="1" applyFill="1" applyAlignment="1"/>
    <xf numFmtId="0" fontId="18" fillId="9" borderId="0" xfId="0" applyFont="1" applyFill="1" applyAlignment="1"/>
    <xf numFmtId="0" fontId="9" fillId="0" borderId="0" xfId="0" applyFont="1" applyAlignment="1">
      <alignment horizontal="left"/>
    </xf>
    <xf numFmtId="3" fontId="0" fillId="0" borderId="0" xfId="1" applyNumberFormat="1" applyFont="1" applyAlignment="1"/>
    <xf numFmtId="0" fontId="10" fillId="10" borderId="0" xfId="6" applyFont="1" applyFill="1"/>
    <xf numFmtId="0" fontId="30" fillId="10" borderId="0" xfId="6" applyFont="1" applyFill="1"/>
    <xf numFmtId="0" fontId="18" fillId="11" borderId="0" xfId="0" applyFont="1" applyFill="1" applyAlignment="1">
      <alignment horizontal="left" vertical="top"/>
    </xf>
    <xf numFmtId="4" fontId="9" fillId="7" borderId="4" xfId="1" applyFont="1" applyFill="1" applyBorder="1"/>
    <xf numFmtId="0" fontId="9" fillId="7" borderId="4" xfId="0" applyFont="1" applyFill="1" applyBorder="1" applyAlignment="1"/>
    <xf numFmtId="4" fontId="10" fillId="7" borderId="5" xfId="1" applyFont="1" applyFill="1" applyBorder="1"/>
    <xf numFmtId="0" fontId="9" fillId="7" borderId="6" xfId="0" applyFont="1" applyFill="1" applyBorder="1" applyAlignment="1"/>
    <xf numFmtId="0" fontId="10" fillId="7" borderId="5" xfId="0" applyFont="1" applyFill="1" applyBorder="1" applyAlignment="1"/>
    <xf numFmtId="0" fontId="10" fillId="0" borderId="0" xfId="0" applyFont="1" applyAlignment="1">
      <alignment horizontal="center" wrapText="1"/>
    </xf>
    <xf numFmtId="0" fontId="0" fillId="12" borderId="0" xfId="0" applyFill="1" applyAlignment="1"/>
    <xf numFmtId="0" fontId="9" fillId="5" borderId="0" xfId="0" applyFont="1" applyFill="1" applyAlignment="1"/>
    <xf numFmtId="0" fontId="10" fillId="13" borderId="7" xfId="0" applyFont="1" applyFill="1" applyBorder="1" applyAlignment="1">
      <alignment horizontal="center"/>
    </xf>
    <xf numFmtId="0" fontId="0" fillId="13" borderId="8" xfId="0" applyFill="1" applyBorder="1" applyAlignment="1"/>
    <xf numFmtId="0" fontId="0" fillId="13" borderId="0" xfId="0" applyFill="1" applyAlignment="1"/>
    <xf numFmtId="9" fontId="9" fillId="14" borderId="9" xfId="12" applyFont="1" applyFill="1" applyBorder="1" applyAlignment="1">
      <alignment horizontal="center"/>
    </xf>
    <xf numFmtId="9" fontId="31" fillId="14" borderId="9" xfId="12" applyFont="1" applyFill="1" applyBorder="1" applyAlignment="1">
      <alignment horizontal="center"/>
    </xf>
    <xf numFmtId="0" fontId="9" fillId="13" borderId="0" xfId="0" applyFont="1" applyFill="1" applyAlignment="1"/>
    <xf numFmtId="0" fontId="9" fillId="13" borderId="8" xfId="0" applyFont="1" applyFill="1" applyBorder="1" applyAlignment="1"/>
    <xf numFmtId="0" fontId="9" fillId="13" borderId="3" xfId="0" applyFont="1" applyFill="1" applyBorder="1" applyAlignment="1"/>
    <xf numFmtId="0" fontId="0" fillId="13" borderId="10" xfId="0" applyFill="1" applyBorder="1" applyAlignment="1"/>
    <xf numFmtId="9" fontId="31" fillId="14" borderId="11" xfId="12" applyFont="1" applyFill="1" applyBorder="1" applyAlignment="1">
      <alignment horizontal="center"/>
    </xf>
    <xf numFmtId="3" fontId="10" fillId="0" borderId="0" xfId="0" applyNumberFormat="1" applyFont="1" applyAlignment="1">
      <alignment horizontal="center"/>
    </xf>
    <xf numFmtId="4" fontId="0" fillId="0" borderId="0" xfId="1" applyFont="1" applyFill="1" applyAlignment="1">
      <alignment horizontal="center"/>
    </xf>
    <xf numFmtId="2" fontId="0" fillId="12" borderId="0" xfId="0" applyNumberFormat="1" applyFill="1" applyAlignment="1">
      <alignment horizontal="center"/>
    </xf>
    <xf numFmtId="0" fontId="4" fillId="0" borderId="0" xfId="0" applyFont="1">
      <alignment vertical="top"/>
    </xf>
    <xf numFmtId="0" fontId="9" fillId="0" borderId="0" xfId="0" applyFont="1" applyAlignment="1">
      <alignment horizontal="center" vertical="top"/>
    </xf>
    <xf numFmtId="0" fontId="8" fillId="0" borderId="0" xfId="0" applyFont="1" applyAlignment="1">
      <alignment horizontal="center"/>
    </xf>
    <xf numFmtId="0" fontId="10" fillId="0" borderId="0" xfId="0" applyFont="1" applyAlignment="1">
      <alignment horizontal="center" vertical="top"/>
    </xf>
    <xf numFmtId="0" fontId="0" fillId="0" borderId="4" xfId="0" applyBorder="1" applyAlignment="1">
      <alignment horizontal="center"/>
    </xf>
    <xf numFmtId="3" fontId="9" fillId="0" borderId="4" xfId="0" applyNumberFormat="1" applyFont="1" applyBorder="1" applyAlignment="1">
      <alignment horizontal="center"/>
    </xf>
    <xf numFmtId="171" fontId="9" fillId="0" borderId="4" xfId="0" applyNumberFormat="1" applyFont="1" applyBorder="1" applyAlignment="1">
      <alignment horizontal="center"/>
    </xf>
    <xf numFmtId="1" fontId="0" fillId="0" borderId="4" xfId="0" applyNumberFormat="1" applyBorder="1" applyAlignment="1">
      <alignment horizontal="center"/>
    </xf>
    <xf numFmtId="166" fontId="9" fillId="0" borderId="4" xfId="0" applyNumberFormat="1" applyFont="1" applyBorder="1" applyAlignment="1">
      <alignment horizontal="center"/>
    </xf>
    <xf numFmtId="2" fontId="0" fillId="0" borderId="4" xfId="0" applyNumberFormat="1" applyBorder="1" applyAlignment="1">
      <alignment horizontal="center"/>
    </xf>
    <xf numFmtId="0" fontId="0" fillId="0" borderId="7" xfId="0" applyBorder="1">
      <alignment vertical="top"/>
    </xf>
    <xf numFmtId="0" fontId="17" fillId="0" borderId="4" xfId="0" applyFont="1" applyBorder="1" applyAlignment="1">
      <alignment horizontal="center" vertical="top"/>
    </xf>
    <xf numFmtId="0" fontId="10" fillId="13" borderId="12" xfId="0" applyFont="1" applyFill="1" applyBorder="1" applyAlignment="1">
      <alignment horizontal="center"/>
    </xf>
    <xf numFmtId="3" fontId="9" fillId="12" borderId="4" xfId="0" applyNumberFormat="1" applyFont="1" applyFill="1" applyBorder="1" applyAlignment="1">
      <alignment horizontal="center"/>
    </xf>
    <xf numFmtId="2" fontId="17" fillId="15" borderId="4" xfId="0" applyNumberFormat="1" applyFont="1" applyFill="1" applyBorder="1" applyAlignment="1">
      <alignment horizontal="center"/>
    </xf>
    <xf numFmtId="4" fontId="17" fillId="15" borderId="4" xfId="1" applyFont="1" applyFill="1" applyBorder="1" applyAlignment="1">
      <alignment horizontal="center"/>
    </xf>
    <xf numFmtId="171" fontId="9" fillId="12" borderId="4" xfId="0" applyNumberFormat="1" applyFont="1" applyFill="1" applyBorder="1" applyAlignment="1">
      <alignment horizontal="center"/>
    </xf>
    <xf numFmtId="0" fontId="0" fillId="12" borderId="5" xfId="0" applyFill="1" applyBorder="1" applyAlignment="1">
      <alignment horizontal="center"/>
    </xf>
    <xf numFmtId="4" fontId="0" fillId="0" borderId="4" xfId="0" applyNumberFormat="1" applyBorder="1" applyAlignment="1">
      <alignment horizontal="center"/>
    </xf>
    <xf numFmtId="182" fontId="0" fillId="0" borderId="4" xfId="6" applyNumberFormat="1" applyFont="1" applyBorder="1" applyAlignment="1">
      <alignment horizontal="center"/>
    </xf>
    <xf numFmtId="181" fontId="17" fillId="15" borderId="4" xfId="0" applyNumberFormat="1" applyFont="1" applyFill="1" applyBorder="1" applyAlignment="1">
      <alignment horizontal="center"/>
    </xf>
    <xf numFmtId="166" fontId="9" fillId="0" borderId="0" xfId="0" applyNumberFormat="1" applyFont="1" applyAlignment="1">
      <alignment horizontal="center"/>
    </xf>
    <xf numFmtId="183" fontId="9" fillId="12" borderId="4" xfId="6" applyNumberFormat="1" applyFont="1" applyFill="1" applyBorder="1" applyAlignment="1">
      <alignment horizontal="center"/>
    </xf>
    <xf numFmtId="0" fontId="17" fillId="0" borderId="0" xfId="0" applyFont="1" applyAlignment="1">
      <alignment horizontal="center" vertical="top"/>
    </xf>
    <xf numFmtId="177" fontId="17" fillId="0" borderId="0" xfId="0" applyNumberFormat="1" applyFont="1" applyAlignment="1">
      <alignment horizontal="center"/>
    </xf>
    <xf numFmtId="181" fontId="17" fillId="0" borderId="0" xfId="0" applyNumberFormat="1" applyFont="1" applyAlignment="1">
      <alignment horizontal="center"/>
    </xf>
    <xf numFmtId="0" fontId="10" fillId="13" borderId="13" xfId="0" applyFont="1" applyFill="1" applyBorder="1" applyAlignment="1">
      <alignment horizontal="center"/>
    </xf>
    <xf numFmtId="0" fontId="0" fillId="13" borderId="14" xfId="0" applyFill="1" applyBorder="1" applyAlignment="1"/>
    <xf numFmtId="0" fontId="0" fillId="13" borderId="9" xfId="0" applyFill="1" applyBorder="1" applyAlignment="1">
      <alignment horizontal="center"/>
    </xf>
    <xf numFmtId="0" fontId="0" fillId="13" borderId="11" xfId="0" applyFill="1" applyBorder="1" applyAlignment="1">
      <alignment horizontal="center"/>
    </xf>
    <xf numFmtId="0" fontId="0" fillId="13" borderId="7" xfId="0" applyFill="1" applyBorder="1" applyAlignment="1"/>
    <xf numFmtId="0" fontId="0" fillId="13" borderId="3" xfId="0" applyFill="1" applyBorder="1" applyAlignment="1"/>
    <xf numFmtId="0" fontId="10" fillId="13" borderId="15" xfId="0" applyFont="1" applyFill="1" applyBorder="1" applyAlignment="1">
      <alignment horizontal="center"/>
    </xf>
    <xf numFmtId="0" fontId="9" fillId="14" borderId="6" xfId="0" applyFont="1" applyFill="1" applyBorder="1" applyAlignment="1">
      <alignment horizontal="center"/>
    </xf>
    <xf numFmtId="0" fontId="9" fillId="14" borderId="16" xfId="0" applyFont="1" applyFill="1" applyBorder="1" applyAlignment="1">
      <alignment horizontal="center"/>
    </xf>
    <xf numFmtId="0" fontId="9" fillId="14" borderId="17" xfId="0" applyFont="1" applyFill="1" applyBorder="1" applyAlignment="1">
      <alignment horizontal="center"/>
    </xf>
    <xf numFmtId="0" fontId="9" fillId="2" borderId="0" xfId="0" applyFont="1" applyFill="1" applyAlignment="1"/>
    <xf numFmtId="0" fontId="6" fillId="0" borderId="0" xfId="0" applyFont="1" applyAlignment="1">
      <alignment wrapText="1"/>
    </xf>
    <xf numFmtId="0" fontId="6" fillId="0" borderId="0" xfId="0" applyFont="1" applyAlignment="1"/>
    <xf numFmtId="0" fontId="32" fillId="0" borderId="0" xfId="0" applyFont="1" applyAlignment="1"/>
    <xf numFmtId="15" fontId="11" fillId="0" borderId="0" xfId="0" applyNumberFormat="1" applyFont="1" applyAlignment="1">
      <alignment vertical="center"/>
    </xf>
    <xf numFmtId="180"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center" vertical="center"/>
    </xf>
    <xf numFmtId="4" fontId="17" fillId="15" borderId="4" xfId="0" applyNumberFormat="1" applyFont="1" applyFill="1" applyBorder="1" applyAlignment="1">
      <alignment horizontal="center"/>
    </xf>
    <xf numFmtId="170" fontId="11" fillId="8" borderId="0" xfId="6" applyNumberFormat="1" applyFont="1" applyFill="1"/>
    <xf numFmtId="170" fontId="15" fillId="9" borderId="0" xfId="0" applyNumberFormat="1" applyFont="1" applyFill="1" applyAlignment="1"/>
    <xf numFmtId="170" fontId="15" fillId="9" borderId="0" xfId="6" applyNumberFormat="1" applyFont="1" applyFill="1"/>
    <xf numFmtId="170" fontId="15" fillId="9" borderId="0" xfId="6" applyNumberFormat="1" applyFont="1" applyFill="1" applyBorder="1"/>
    <xf numFmtId="170" fontId="15" fillId="0" borderId="0" xfId="6" applyNumberFormat="1" applyFont="1"/>
    <xf numFmtId="170" fontId="15" fillId="0" borderId="0" xfId="0" applyNumberFormat="1" applyFont="1" applyAlignment="1"/>
    <xf numFmtId="170" fontId="11" fillId="4" borderId="1" xfId="6" applyNumberFormat="1" applyFont="1" applyFill="1" applyBorder="1"/>
    <xf numFmtId="170" fontId="0" fillId="0" borderId="1" xfId="0" applyNumberFormat="1" applyBorder="1" applyAlignment="1">
      <alignment horizontal="center"/>
    </xf>
    <xf numFmtId="4" fontId="0" fillId="0" borderId="0" xfId="1" applyFont="1" applyAlignment="1">
      <alignment horizontal="center"/>
    </xf>
    <xf numFmtId="4" fontId="0" fillId="0" borderId="1" xfId="0" applyNumberFormat="1" applyBorder="1" applyAlignment="1">
      <alignment horizontal="center"/>
    </xf>
    <xf numFmtId="170" fontId="0" fillId="4" borderId="0" xfId="0" applyNumberFormat="1" applyFill="1" applyAlignment="1">
      <alignment horizontal="center"/>
    </xf>
    <xf numFmtId="170" fontId="0" fillId="4" borderId="0" xfId="6" applyNumberFormat="1" applyFont="1" applyFill="1" applyAlignment="1">
      <alignment horizontal="center"/>
    </xf>
    <xf numFmtId="170" fontId="12" fillId="5" borderId="0" xfId="0" applyNumberFormat="1" applyFont="1" applyFill="1" applyAlignment="1">
      <alignment horizontal="center"/>
    </xf>
    <xf numFmtId="170" fontId="12" fillId="0" borderId="0" xfId="0" applyNumberFormat="1" applyFont="1" applyAlignment="1">
      <alignment horizontal="center"/>
    </xf>
    <xf numFmtId="164" fontId="0" fillId="0" borderId="0" xfId="0" applyNumberFormat="1" applyAlignment="1"/>
    <xf numFmtId="164" fontId="10" fillId="0" borderId="2" xfId="0" applyNumberFormat="1" applyFont="1" applyBorder="1" applyAlignment="1"/>
    <xf numFmtId="170" fontId="10" fillId="0" borderId="2" xfId="0" applyNumberFormat="1" applyFont="1" applyBorder="1" applyAlignment="1"/>
    <xf numFmtId="39" fontId="0" fillId="0" borderId="0" xfId="0" applyNumberFormat="1" applyAlignment="1"/>
    <xf numFmtId="39" fontId="10" fillId="10" borderId="2" xfId="0" applyNumberFormat="1" applyFont="1" applyFill="1" applyBorder="1" applyAlignment="1"/>
    <xf numFmtId="39" fontId="0" fillId="0" borderId="2" xfId="0" applyNumberFormat="1" applyBorder="1" applyAlignment="1"/>
    <xf numFmtId="10" fontId="0" fillId="0" borderId="2" xfId="0" applyNumberFormat="1" applyBorder="1" applyAlignment="1"/>
    <xf numFmtId="10" fontId="0" fillId="0" borderId="2" xfId="12" applyNumberFormat="1" applyFont="1" applyBorder="1"/>
    <xf numFmtId="170" fontId="9" fillId="0" borderId="0" xfId="0" applyNumberFormat="1" applyFont="1" applyAlignment="1" applyProtection="1">
      <alignment horizontal="center"/>
      <protection locked="0"/>
    </xf>
    <xf numFmtId="4" fontId="10" fillId="6" borderId="4" xfId="0" applyNumberFormat="1" applyFont="1" applyFill="1" applyBorder="1" applyAlignment="1">
      <alignment horizontal="center"/>
    </xf>
    <xf numFmtId="4" fontId="10" fillId="6" borderId="0" xfId="0" applyNumberFormat="1" applyFont="1" applyFill="1" applyAlignment="1">
      <alignment horizontal="center"/>
    </xf>
    <xf numFmtId="170" fontId="10" fillId="4" borderId="0" xfId="0" applyNumberFormat="1" applyFont="1" applyFill="1" applyAlignment="1"/>
    <xf numFmtId="170" fontId="9" fillId="0" borderId="0" xfId="0" applyNumberFormat="1" applyFont="1" applyAlignment="1"/>
    <xf numFmtId="170" fontId="0" fillId="4" borderId="0" xfId="0" applyNumberFormat="1" applyFill="1" applyAlignment="1"/>
    <xf numFmtId="170" fontId="10" fillId="5" borderId="0" xfId="0" applyNumberFormat="1" applyFont="1" applyFill="1" applyAlignment="1"/>
    <xf numFmtId="0" fontId="10" fillId="5" borderId="0" xfId="0" applyFont="1" applyFill="1" applyAlignment="1"/>
    <xf numFmtId="170" fontId="0" fillId="0" borderId="0" xfId="6" applyNumberFormat="1" applyFont="1" applyAlignment="1">
      <alignment horizontal="center"/>
    </xf>
    <xf numFmtId="170" fontId="10" fillId="10" borderId="0" xfId="0" applyNumberFormat="1" applyFont="1" applyFill="1" applyAlignment="1">
      <alignment horizontal="center"/>
    </xf>
    <xf numFmtId="4" fontId="10" fillId="0" borderId="0" xfId="0" applyNumberFormat="1" applyFont="1" applyAlignment="1">
      <alignment horizontal="center"/>
    </xf>
    <xf numFmtId="4" fontId="0" fillId="2" borderId="0" xfId="1" applyFont="1" applyFill="1" applyAlignment="1">
      <alignment horizontal="right"/>
    </xf>
    <xf numFmtId="4" fontId="9" fillId="2" borderId="0" xfId="1" applyFont="1" applyFill="1" applyAlignment="1">
      <alignment horizontal="right"/>
    </xf>
    <xf numFmtId="2" fontId="0" fillId="2" borderId="0" xfId="1" applyNumberFormat="1" applyFont="1" applyFill="1" applyAlignment="1">
      <alignment horizontal="right"/>
    </xf>
    <xf numFmtId="2" fontId="0" fillId="0" borderId="0" xfId="1" applyNumberFormat="1" applyFont="1" applyAlignment="1">
      <alignment horizontal="right"/>
    </xf>
    <xf numFmtId="170" fontId="0" fillId="0" borderId="0" xfId="6" applyNumberFormat="1" applyFont="1"/>
    <xf numFmtId="170" fontId="0" fillId="0" borderId="1" xfId="6" applyNumberFormat="1" applyFont="1" applyBorder="1"/>
    <xf numFmtId="10" fontId="10" fillId="0" borderId="0" xfId="0" applyNumberFormat="1" applyFont="1" applyAlignment="1">
      <alignment horizontal="center"/>
    </xf>
    <xf numFmtId="10" fontId="9" fillId="0" borderId="4" xfId="12" applyNumberFormat="1" applyFont="1" applyFill="1" applyBorder="1" applyAlignment="1">
      <alignment horizontal="center"/>
    </xf>
    <xf numFmtId="10" fontId="9" fillId="0" borderId="4" xfId="0" applyNumberFormat="1" applyFont="1" applyBorder="1" applyAlignment="1">
      <alignment horizontal="center"/>
    </xf>
    <xf numFmtId="0" fontId="36" fillId="0" borderId="0" xfId="0" applyFont="1" applyAlignment="1">
      <alignment horizontal="center" vertical="top"/>
    </xf>
    <xf numFmtId="0" fontId="36" fillId="0" borderId="0" xfId="0" applyFont="1" applyAlignment="1">
      <alignment horizontal="center"/>
    </xf>
    <xf numFmtId="0" fontId="9" fillId="0" borderId="4" xfId="6" applyFont="1" applyFill="1" applyBorder="1" applyAlignment="1">
      <alignment horizontal="center"/>
    </xf>
    <xf numFmtId="0" fontId="9" fillId="0" borderId="4" xfId="1" applyNumberFormat="1" applyFont="1" applyFill="1" applyBorder="1" applyAlignment="1">
      <alignment horizontal="center"/>
    </xf>
    <xf numFmtId="183" fontId="9" fillId="0" borderId="4" xfId="6" applyNumberFormat="1" applyFont="1" applyFill="1" applyBorder="1" applyAlignment="1">
      <alignment horizontal="center"/>
    </xf>
    <xf numFmtId="171" fontId="9" fillId="12" borderId="4" xfId="6" applyNumberFormat="1" applyFont="1" applyFill="1" applyBorder="1" applyAlignment="1">
      <alignment horizontal="center"/>
    </xf>
    <xf numFmtId="171" fontId="0" fillId="0" borderId="0" xfId="0" applyNumberFormat="1" applyAlignment="1"/>
    <xf numFmtId="171" fontId="10" fillId="0" borderId="0" xfId="0" applyNumberFormat="1" applyFont="1" applyAlignment="1">
      <alignment horizontal="center"/>
    </xf>
    <xf numFmtId="10" fontId="0" fillId="0" borderId="0" xfId="12" applyNumberFormat="1" applyFont="1" applyFill="1" applyAlignment="1"/>
    <xf numFmtId="171" fontId="9" fillId="0" borderId="4" xfId="6" applyNumberFormat="1" applyFont="1" applyFill="1" applyBorder="1" applyAlignment="1">
      <alignment horizontal="center"/>
    </xf>
    <xf numFmtId="183" fontId="0" fillId="0" borderId="0" xfId="6" applyNumberFormat="1" applyFont="1" applyAlignment="1">
      <alignment horizontal="center"/>
    </xf>
    <xf numFmtId="183" fontId="9" fillId="0" borderId="0" xfId="6" applyNumberFormat="1" applyFont="1" applyFill="1" applyBorder="1" applyAlignment="1">
      <alignment horizontal="center"/>
    </xf>
    <xf numFmtId="183" fontId="0" fillId="0" borderId="0" xfId="6" applyNumberFormat="1" applyFont="1" applyAlignment="1"/>
    <xf numFmtId="181" fontId="0" fillId="0" borderId="4" xfId="6" applyNumberFormat="1" applyFont="1" applyBorder="1" applyAlignment="1">
      <alignment horizontal="center"/>
    </xf>
    <xf numFmtId="0" fontId="34" fillId="0" borderId="0" xfId="0" applyFont="1" applyAlignment="1"/>
    <xf numFmtId="4" fontId="0" fillId="0" borderId="0" xfId="0" applyNumberFormat="1" applyAlignment="1">
      <alignment horizontal="left"/>
    </xf>
    <xf numFmtId="3" fontId="0" fillId="0" borderId="0" xfId="0" applyNumberFormat="1" applyAlignment="1">
      <alignment horizontal="right"/>
    </xf>
    <xf numFmtId="184" fontId="0" fillId="0" borderId="0" xfId="3" applyNumberFormat="1" applyFont="1" applyFill="1" applyBorder="1" applyAlignment="1">
      <alignment horizontal="center"/>
    </xf>
    <xf numFmtId="3" fontId="0" fillId="0" borderId="0" xfId="3" applyNumberFormat="1" applyFont="1" applyFill="1" applyBorder="1" applyAlignment="1">
      <alignment horizontal="center"/>
    </xf>
    <xf numFmtId="184" fontId="0" fillId="0" borderId="0" xfId="8" applyNumberFormat="1" applyFont="1" applyFill="1" applyBorder="1" applyAlignment="1">
      <alignment horizontal="center"/>
    </xf>
    <xf numFmtId="184" fontId="0" fillId="0" borderId="0" xfId="0" applyNumberFormat="1" applyAlignment="1">
      <alignment horizontal="center"/>
    </xf>
    <xf numFmtId="3" fontId="0" fillId="0" borderId="0" xfId="0" applyNumberFormat="1" applyAlignment="1">
      <alignment horizontal="left"/>
    </xf>
    <xf numFmtId="170" fontId="10" fillId="0" borderId="0" xfId="3" applyNumberFormat="1" applyFont="1" applyFill="1" applyBorder="1" applyAlignment="1">
      <alignment horizontal="center"/>
    </xf>
    <xf numFmtId="184" fontId="9" fillId="0" borderId="0" xfId="3" applyNumberFormat="1" applyFont="1" applyFill="1" applyBorder="1" applyAlignment="1">
      <alignment horizontal="center"/>
    </xf>
    <xf numFmtId="4" fontId="0" fillId="0" borderId="0" xfId="3" applyFont="1" applyFill="1" applyBorder="1" applyAlignment="1">
      <alignment horizontal="center"/>
    </xf>
    <xf numFmtId="0" fontId="17" fillId="0" borderId="0" xfId="0" applyFont="1" applyAlignment="1">
      <alignment horizontal="center"/>
    </xf>
    <xf numFmtId="0" fontId="9" fillId="0" borderId="0" xfId="0" quotePrefix="1" applyFont="1" applyAlignment="1">
      <alignment horizontal="center"/>
    </xf>
    <xf numFmtId="1" fontId="0" fillId="0" borderId="0" xfId="0" applyNumberFormat="1" applyAlignment="1"/>
    <xf numFmtId="0" fontId="10" fillId="16" borderId="0" xfId="0" applyFont="1" applyFill="1" applyAlignment="1">
      <alignment horizontal="center"/>
    </xf>
    <xf numFmtId="171" fontId="9" fillId="16" borderId="4" xfId="6" applyNumberFormat="1" applyFont="1" applyFill="1" applyBorder="1" applyAlignment="1">
      <alignment horizontal="center"/>
    </xf>
    <xf numFmtId="10" fontId="9" fillId="16" borderId="4" xfId="12" applyNumberFormat="1" applyFont="1" applyFill="1" applyBorder="1" applyAlignment="1">
      <alignment horizontal="center"/>
    </xf>
    <xf numFmtId="183" fontId="9" fillId="16" borderId="4" xfId="6" applyNumberFormat="1" applyFont="1" applyFill="1" applyBorder="1" applyAlignment="1">
      <alignment horizontal="center"/>
    </xf>
    <xf numFmtId="182" fontId="31" fillId="16" borderId="4" xfId="6" applyNumberFormat="1" applyFont="1" applyFill="1" applyBorder="1" applyAlignment="1">
      <alignment horizontal="center"/>
    </xf>
    <xf numFmtId="181" fontId="31" fillId="16" borderId="4" xfId="6" applyNumberFormat="1" applyFont="1" applyFill="1" applyBorder="1" applyAlignment="1">
      <alignment horizontal="center"/>
    </xf>
    <xf numFmtId="0" fontId="0" fillId="0" borderId="18" xfId="0" applyBorder="1" applyAlignment="1"/>
    <xf numFmtId="3" fontId="9" fillId="0" borderId="18" xfId="0" applyNumberFormat="1" applyFont="1" applyBorder="1" applyAlignment="1">
      <alignment horizontal="center"/>
    </xf>
    <xf numFmtId="166" fontId="9" fillId="0" borderId="18" xfId="0" applyNumberFormat="1" applyFont="1" applyBorder="1" applyAlignment="1">
      <alignment horizontal="center"/>
    </xf>
    <xf numFmtId="0" fontId="0" fillId="0" borderId="19" xfId="0" applyBorder="1" applyAlignment="1"/>
    <xf numFmtId="0" fontId="0" fillId="0" borderId="20" xfId="0" applyBorder="1" applyAlignment="1"/>
    <xf numFmtId="0" fontId="36" fillId="16" borderId="19" xfId="0" applyFont="1" applyFill="1" applyBorder="1" applyAlignment="1">
      <alignment horizontal="center"/>
    </xf>
    <xf numFmtId="0" fontId="0" fillId="16" borderId="0" xfId="0" applyFill="1" applyAlignment="1"/>
    <xf numFmtId="0" fontId="0" fillId="16" borderId="20" xfId="0" applyFill="1" applyBorder="1" applyAlignment="1"/>
    <xf numFmtId="0" fontId="10" fillId="16" borderId="19" xfId="0" applyFont="1" applyFill="1" applyBorder="1" applyAlignment="1">
      <alignment horizontal="center"/>
    </xf>
    <xf numFmtId="0" fontId="9" fillId="16" borderId="21" xfId="6" applyFont="1" applyFill="1" applyBorder="1" applyAlignment="1">
      <alignment horizontal="center"/>
    </xf>
    <xf numFmtId="2" fontId="0" fillId="16" borderId="22" xfId="0" applyNumberFormat="1" applyFill="1" applyBorder="1" applyAlignment="1">
      <alignment horizontal="center"/>
    </xf>
    <xf numFmtId="10" fontId="0" fillId="0" borderId="0" xfId="12" applyNumberFormat="1" applyFont="1" applyFill="1" applyBorder="1" applyAlignment="1"/>
    <xf numFmtId="183" fontId="0" fillId="0" borderId="0" xfId="6" applyNumberFormat="1" applyFont="1" applyBorder="1" applyAlignment="1">
      <alignment horizontal="center"/>
    </xf>
    <xf numFmtId="0" fontId="17" fillId="0" borderId="22" xfId="0" applyFont="1" applyBorder="1" applyAlignment="1">
      <alignment horizontal="center" vertical="top"/>
    </xf>
    <xf numFmtId="0" fontId="0" fillId="0" borderId="20" xfId="0" applyBorder="1" applyAlignment="1">
      <alignment horizontal="center"/>
    </xf>
    <xf numFmtId="171" fontId="10" fillId="16" borderId="0" xfId="0" applyNumberFormat="1" applyFont="1" applyFill="1" applyAlignment="1">
      <alignment horizontal="center"/>
    </xf>
    <xf numFmtId="10" fontId="31" fillId="16" borderId="0" xfId="12" applyNumberFormat="1" applyFont="1" applyFill="1" applyBorder="1" applyAlignment="1"/>
    <xf numFmtId="0" fontId="10" fillId="16" borderId="20" xfId="0" applyFont="1" applyFill="1" applyBorder="1" applyAlignment="1">
      <alignment horizontal="center"/>
    </xf>
    <xf numFmtId="0" fontId="17" fillId="0" borderId="20" xfId="0" applyFont="1" applyBorder="1" applyAlignment="1">
      <alignment horizontal="center" vertical="top"/>
    </xf>
    <xf numFmtId="0" fontId="9" fillId="16" borderId="21" xfId="1" applyNumberFormat="1" applyFont="1" applyFill="1" applyBorder="1" applyAlignment="1">
      <alignment horizontal="center"/>
    </xf>
    <xf numFmtId="183" fontId="0" fillId="0" borderId="0" xfId="6" applyNumberFormat="1" applyFont="1" applyBorder="1" applyAlignment="1"/>
    <xf numFmtId="0" fontId="0" fillId="0" borderId="23" xfId="0" applyBorder="1" applyAlignment="1"/>
    <xf numFmtId="181" fontId="17" fillId="15" borderId="6" xfId="0" applyNumberFormat="1" applyFont="1" applyFill="1" applyBorder="1" applyAlignment="1">
      <alignment horizontal="center"/>
    </xf>
    <xf numFmtId="0" fontId="17" fillId="0" borderId="24" xfId="0" applyFont="1" applyBorder="1" applyAlignment="1">
      <alignment horizontal="center" vertical="top"/>
    </xf>
    <xf numFmtId="0" fontId="0" fillId="0" borderId="18" xfId="0" applyBorder="1" applyAlignment="1">
      <alignment horizontal="center"/>
    </xf>
    <xf numFmtId="0" fontId="17" fillId="0" borderId="25" xfId="0" applyFont="1" applyBorder="1">
      <alignment vertical="top"/>
    </xf>
    <xf numFmtId="0" fontId="37" fillId="0" borderId="19" xfId="0" applyFont="1" applyBorder="1" applyAlignment="1"/>
    <xf numFmtId="1" fontId="0" fillId="0" borderId="18" xfId="0" applyNumberFormat="1" applyBorder="1" applyAlignment="1"/>
    <xf numFmtId="1" fontId="0" fillId="0" borderId="26" xfId="0" applyNumberFormat="1" applyBorder="1" applyAlignment="1"/>
    <xf numFmtId="0" fontId="17" fillId="0" borderId="23" xfId="0" applyFont="1" applyBorder="1">
      <alignment vertical="top"/>
    </xf>
    <xf numFmtId="3" fontId="9" fillId="0" borderId="23" xfId="0" applyNumberFormat="1" applyFont="1" applyBorder="1" applyAlignment="1">
      <alignment horizontal="center"/>
    </xf>
    <xf numFmtId="166" fontId="9" fillId="0" borderId="23" xfId="0" applyNumberFormat="1" applyFont="1" applyBorder="1" applyAlignment="1">
      <alignment horizontal="center"/>
    </xf>
    <xf numFmtId="0" fontId="38" fillId="0" borderId="0" xfId="0" applyFont="1" applyAlignment="1">
      <alignment horizontal="left" vertical="top"/>
    </xf>
    <xf numFmtId="0" fontId="10" fillId="2" borderId="0" xfId="0" applyFont="1" applyFill="1" applyAlignment="1"/>
    <xf numFmtId="174" fontId="0" fillId="2" borderId="0" xfId="1" applyNumberFormat="1" applyFont="1" applyFill="1" applyAlignment="1">
      <alignment horizontal="right"/>
    </xf>
    <xf numFmtId="0" fontId="10" fillId="12" borderId="0" xfId="0" applyFont="1" applyFill="1" applyAlignment="1">
      <alignment horizontal="center"/>
    </xf>
    <xf numFmtId="169" fontId="9" fillId="0" borderId="0" xfId="0" applyNumberFormat="1" applyFont="1" applyAlignment="1"/>
    <xf numFmtId="0" fontId="20" fillId="0" borderId="0" xfId="0" applyFont="1" applyAlignment="1"/>
    <xf numFmtId="0" fontId="0" fillId="17" borderId="0" xfId="0" applyFill="1" applyAlignment="1">
      <alignment horizontal="center"/>
    </xf>
    <xf numFmtId="0" fontId="26" fillId="0" borderId="0" xfId="0" applyFont="1" applyAlignment="1">
      <alignment horizontal="center"/>
    </xf>
    <xf numFmtId="3" fontId="0" fillId="0" borderId="4" xfId="1" applyNumberFormat="1" applyFont="1" applyBorder="1" applyAlignment="1">
      <alignment horizontal="center"/>
    </xf>
    <xf numFmtId="4" fontId="0" fillId="0" borderId="0" xfId="1" applyFont="1" applyFill="1" applyAlignment="1"/>
    <xf numFmtId="0" fontId="6" fillId="18" borderId="0" xfId="0" applyFont="1" applyFill="1" applyAlignment="1"/>
    <xf numFmtId="0" fontId="6" fillId="18" borderId="0" xfId="0" applyFont="1" applyFill="1" applyAlignment="1">
      <alignment horizontal="left"/>
    </xf>
    <xf numFmtId="0" fontId="6" fillId="0" borderId="0" xfId="0" applyFont="1" applyAlignment="1">
      <alignment horizontal="left"/>
    </xf>
    <xf numFmtId="170" fontId="6" fillId="19" borderId="0" xfId="0" applyNumberFormat="1" applyFont="1" applyFill="1" applyAlignment="1"/>
    <xf numFmtId="170" fontId="6" fillId="0" borderId="0" xfId="0" applyNumberFormat="1" applyFont="1" applyAlignment="1"/>
    <xf numFmtId="170" fontId="6" fillId="18" borderId="0" xfId="0" applyNumberFormat="1" applyFont="1" applyFill="1" applyAlignment="1"/>
    <xf numFmtId="170" fontId="11" fillId="0" borderId="0" xfId="0" applyNumberFormat="1" applyFont="1" applyAlignment="1">
      <alignment horizontal="center"/>
    </xf>
    <xf numFmtId="170" fontId="6" fillId="0" borderId="0" xfId="0" applyNumberFormat="1" applyFont="1" applyAlignment="1">
      <alignment horizontal="center"/>
    </xf>
    <xf numFmtId="0" fontId="39" fillId="0" borderId="0" xfId="0" applyFont="1" applyAlignment="1">
      <alignment horizontal="center"/>
    </xf>
    <xf numFmtId="170" fontId="6" fillId="19" borderId="0" xfId="0" applyNumberFormat="1" applyFont="1" applyFill="1" applyAlignment="1">
      <alignment horizontal="center"/>
    </xf>
    <xf numFmtId="0" fontId="6" fillId="18" borderId="0" xfId="0" applyFont="1" applyFill="1" applyAlignment="1">
      <alignment horizontal="center"/>
    </xf>
    <xf numFmtId="0" fontId="6" fillId="19" borderId="0" xfId="0" applyFont="1" applyFill="1" applyAlignment="1">
      <alignment horizontal="center"/>
    </xf>
    <xf numFmtId="0" fontId="3" fillId="8" borderId="0" xfId="0" applyFont="1" applyFill="1" applyAlignment="1"/>
    <xf numFmtId="170" fontId="40" fillId="8" borderId="0" xfId="6" applyNumberFormat="1" applyFont="1" applyFill="1"/>
    <xf numFmtId="0" fontId="3" fillId="9" borderId="0" xfId="0" applyFont="1" applyFill="1" applyAlignment="1"/>
    <xf numFmtId="0" fontId="0" fillId="2" borderId="0" xfId="6" applyFont="1" applyFill="1" applyAlignment="1">
      <alignment horizontal="right"/>
    </xf>
    <xf numFmtId="185" fontId="0" fillId="2" borderId="0" xfId="1" applyNumberFormat="1" applyFont="1" applyFill="1" applyAlignment="1"/>
    <xf numFmtId="4" fontId="0" fillId="12" borderId="0" xfId="1" applyFont="1" applyFill="1" applyBorder="1" applyAlignment="1">
      <alignment horizontal="right"/>
    </xf>
    <xf numFmtId="173" fontId="9" fillId="12" borderId="4" xfId="12" applyNumberFormat="1" applyFont="1" applyFill="1" applyBorder="1" applyAlignment="1"/>
    <xf numFmtId="0" fontId="0" fillId="0" borderId="4" xfId="0" applyBorder="1" applyAlignment="1"/>
    <xf numFmtId="185" fontId="0" fillId="12" borderId="0" xfId="1" applyNumberFormat="1" applyFont="1" applyFill="1" applyBorder="1" applyAlignment="1">
      <alignment horizontal="right"/>
    </xf>
    <xf numFmtId="0" fontId="9" fillId="12" borderId="0" xfId="0" applyFont="1" applyFill="1" applyAlignment="1"/>
    <xf numFmtId="2" fontId="9" fillId="0" borderId="0" xfId="0" applyNumberFormat="1" applyFont="1" applyAlignment="1"/>
    <xf numFmtId="0" fontId="42" fillId="12" borderId="0" xfId="0" applyFont="1" applyFill="1" applyAlignment="1"/>
    <xf numFmtId="0" fontId="42" fillId="0" borderId="0" xfId="0" applyFont="1" applyAlignment="1"/>
    <xf numFmtId="0" fontId="0" fillId="20" borderId="0" xfId="0" applyFill="1" applyAlignment="1"/>
    <xf numFmtId="0" fontId="3" fillId="20" borderId="0" xfId="0" applyFont="1" applyFill="1" applyAlignment="1"/>
    <xf numFmtId="4" fontId="11" fillId="20" borderId="0" xfId="1" applyFont="1" applyFill="1" applyAlignment="1"/>
    <xf numFmtId="4" fontId="6" fillId="20" borderId="0" xfId="1" applyFont="1" applyFill="1" applyAlignment="1"/>
    <xf numFmtId="0" fontId="3" fillId="21" borderId="0" xfId="0" applyFont="1" applyFill="1" applyAlignment="1"/>
    <xf numFmtId="0" fontId="0" fillId="21" borderId="0" xfId="0" applyFill="1" applyAlignment="1"/>
    <xf numFmtId="4" fontId="40" fillId="21" borderId="0" xfId="1" applyFont="1" applyFill="1"/>
    <xf numFmtId="4" fontId="11" fillId="20" borderId="0" xfId="1" applyFont="1" applyFill="1"/>
    <xf numFmtId="4" fontId="11" fillId="20" borderId="0" xfId="1" applyFont="1" applyFill="1" applyBorder="1"/>
    <xf numFmtId="170" fontId="12" fillId="0" borderId="23" xfId="0" applyNumberFormat="1" applyFont="1" applyBorder="1" applyAlignment="1">
      <alignment horizontal="center"/>
    </xf>
    <xf numFmtId="170" fontId="10" fillId="17" borderId="27" xfId="1" applyNumberFormat="1" applyFont="1" applyFill="1" applyBorder="1" applyAlignment="1">
      <alignment horizontal="center"/>
    </xf>
    <xf numFmtId="170" fontId="10" fillId="0" borderId="27" xfId="1" applyNumberFormat="1" applyFont="1" applyBorder="1" applyAlignment="1">
      <alignment horizontal="center"/>
    </xf>
    <xf numFmtId="170" fontId="10" fillId="0" borderId="27" xfId="0" applyNumberFormat="1" applyFont="1" applyBorder="1" applyAlignment="1"/>
    <xf numFmtId="4" fontId="0" fillId="0" borderId="0" xfId="1" applyFont="1" applyAlignment="1"/>
    <xf numFmtId="0" fontId="6" fillId="18" borderId="0" xfId="0" applyFont="1" applyFill="1" applyAlignment="1">
      <alignment horizontal="left"/>
    </xf>
    <xf numFmtId="0" fontId="10" fillId="13" borderId="13" xfId="0" applyFont="1" applyFill="1" applyBorder="1" applyAlignment="1">
      <alignment horizontal="center" vertical="center" wrapText="1"/>
    </xf>
    <xf numFmtId="0" fontId="10" fillId="13" borderId="14"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13" fillId="0" borderId="0" xfId="0" applyFont="1" applyAlignment="1">
      <alignment horizontal="center"/>
    </xf>
    <xf numFmtId="0" fontId="0" fillId="0" borderId="0" xfId="0" applyAlignment="1">
      <alignment horizontal="center"/>
    </xf>
    <xf numFmtId="0" fontId="18" fillId="0" borderId="0" xfId="0" applyFont="1" applyAlignment="1">
      <alignment horizontal="center"/>
    </xf>
    <xf numFmtId="0" fontId="11" fillId="8" borderId="0" xfId="0" applyFont="1" applyFill="1" applyAlignment="1">
      <alignment vertical="top" wrapText="1"/>
    </xf>
    <xf numFmtId="0" fontId="24" fillId="0" borderId="0" xfId="0" applyFont="1" applyAlignment="1">
      <alignment horizontal="center"/>
    </xf>
    <xf numFmtId="0" fontId="10" fillId="11" borderId="0" xfId="0" applyFont="1" applyFill="1" applyAlignment="1">
      <alignment vertical="top" wrapText="1"/>
    </xf>
    <xf numFmtId="49" fontId="18" fillId="0" borderId="0" xfId="0" applyNumberFormat="1" applyFont="1" applyAlignment="1">
      <alignment horizontal="center"/>
    </xf>
    <xf numFmtId="0" fontId="11" fillId="11" borderId="0" xfId="0" applyFont="1" applyFill="1" applyAlignment="1">
      <alignment vertical="top" wrapText="1"/>
    </xf>
    <xf numFmtId="0" fontId="3" fillId="0" borderId="0" xfId="0" applyFont="1" applyAlignment="1">
      <alignment horizontal="center"/>
    </xf>
    <xf numFmtId="49" fontId="3" fillId="0" borderId="0" xfId="0" applyNumberFormat="1" applyFont="1" applyAlignment="1">
      <alignment horizontal="center"/>
    </xf>
    <xf numFmtId="0" fontId="10" fillId="10" borderId="0" xfId="0" applyFont="1" applyFill="1" applyAlignment="1">
      <alignment horizontal="center"/>
    </xf>
  </cellXfs>
  <cellStyles count="14">
    <cellStyle name="Comma" xfId="1" builtinId="3"/>
    <cellStyle name="Comma 2" xfId="2" xr:uid="{00000000-0005-0000-0000-000001000000}"/>
    <cellStyle name="Comma 3" xfId="3" xr:uid="{00000000-0005-0000-0000-000002000000}"/>
    <cellStyle name="Comma0" xfId="4" xr:uid="{00000000-0005-0000-0000-000003000000}"/>
    <cellStyle name="Comma0 2" xfId="5" xr:uid="{00000000-0005-0000-0000-000004000000}"/>
    <cellStyle name="Currency" xfId="6" builtinId="4"/>
    <cellStyle name="Currency 2" xfId="7" xr:uid="{00000000-0005-0000-0000-000006000000}"/>
    <cellStyle name="Currency 3" xfId="8" xr:uid="{00000000-0005-0000-0000-000007000000}"/>
    <cellStyle name="Currency0" xfId="9" xr:uid="{00000000-0005-0000-0000-000008000000}"/>
    <cellStyle name="Currency0 2" xfId="10" xr:uid="{00000000-0005-0000-0000-000009000000}"/>
    <cellStyle name="Normal" xfId="0" builtinId="0"/>
    <cellStyle name="Normal 2" xfId="11" xr:uid="{00000000-0005-0000-0000-00000B000000}"/>
    <cellStyle name="Percent" xfId="12" builtinId="5"/>
    <cellStyle name="Percent 2"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809625</xdr:colOff>
      <xdr:row>29</xdr:row>
      <xdr:rowOff>85725</xdr:rowOff>
    </xdr:from>
    <xdr:to>
      <xdr:col>7</xdr:col>
      <xdr:colOff>133350</xdr:colOff>
      <xdr:row>33</xdr:row>
      <xdr:rowOff>104775</xdr:rowOff>
    </xdr:to>
    <xdr:sp macro="" textlink="">
      <xdr:nvSpPr>
        <xdr:cNvPr id="24840" name="Line 3">
          <a:extLst>
            <a:ext uri="{FF2B5EF4-FFF2-40B4-BE49-F238E27FC236}">
              <a16:creationId xmlns:a16="http://schemas.microsoft.com/office/drawing/2014/main" id="{C7791DDF-CE19-4D3C-9400-BC84BC58C9AB}"/>
            </a:ext>
          </a:extLst>
        </xdr:cNvPr>
        <xdr:cNvSpPr>
          <a:spLocks noChangeShapeType="1"/>
        </xdr:cNvSpPr>
      </xdr:nvSpPr>
      <xdr:spPr bwMode="auto">
        <a:xfrm>
          <a:off x="4200525" y="5400675"/>
          <a:ext cx="1400175" cy="666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31</xdr:row>
      <xdr:rowOff>104775</xdr:rowOff>
    </xdr:from>
    <xdr:to>
      <xdr:col>15</xdr:col>
      <xdr:colOff>123825</xdr:colOff>
      <xdr:row>33</xdr:row>
      <xdr:rowOff>38100</xdr:rowOff>
    </xdr:to>
    <xdr:sp macro="" textlink="">
      <xdr:nvSpPr>
        <xdr:cNvPr id="24841" name="Line 4">
          <a:extLst>
            <a:ext uri="{FF2B5EF4-FFF2-40B4-BE49-F238E27FC236}">
              <a16:creationId xmlns:a16="http://schemas.microsoft.com/office/drawing/2014/main" id="{873064AA-6E75-4C8B-A6A5-2FD29AC17126}"/>
            </a:ext>
          </a:extLst>
        </xdr:cNvPr>
        <xdr:cNvSpPr>
          <a:spLocks noChangeShapeType="1"/>
        </xdr:cNvSpPr>
      </xdr:nvSpPr>
      <xdr:spPr bwMode="auto">
        <a:xfrm flipH="1">
          <a:off x="6324600" y="5743575"/>
          <a:ext cx="60483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workbookViewId="0">
      <selection activeCell="D14" sqref="D14"/>
    </sheetView>
  </sheetViews>
  <sheetFormatPr defaultRowHeight="12.75" x14ac:dyDescent="0.2"/>
  <cols>
    <col min="1" max="1" width="33.7109375" customWidth="1"/>
    <col min="2" max="2" width="100.7109375" customWidth="1"/>
    <col min="3" max="3" width="5.7109375" customWidth="1"/>
    <col min="4" max="4" width="13.28515625" style="4" customWidth="1"/>
    <col min="5" max="5" width="100.7109375" customWidth="1"/>
    <col min="6" max="6" width="10.7109375" customWidth="1"/>
  </cols>
  <sheetData>
    <row r="1" spans="1:9" ht="18" x14ac:dyDescent="0.25">
      <c r="A1" s="44" t="s">
        <v>359</v>
      </c>
    </row>
    <row r="2" spans="1:9" ht="12.75" customHeight="1" x14ac:dyDescent="0.25">
      <c r="A2" s="44"/>
      <c r="D2" s="44"/>
    </row>
    <row r="3" spans="1:9" ht="20.25" x14ac:dyDescent="0.3">
      <c r="A3" s="46" t="s">
        <v>0</v>
      </c>
      <c r="D3" s="44"/>
    </row>
    <row r="4" spans="1:9" ht="12.75" customHeight="1" x14ac:dyDescent="0.25">
      <c r="D4" s="44"/>
    </row>
    <row r="5" spans="1:9" ht="18" x14ac:dyDescent="0.25">
      <c r="A5" s="44" t="s">
        <v>1</v>
      </c>
      <c r="B5" s="47" t="s">
        <v>2</v>
      </c>
      <c r="D5" s="44" t="s">
        <v>287</v>
      </c>
    </row>
    <row r="6" spans="1:9" ht="18" x14ac:dyDescent="0.25">
      <c r="B6" s="3"/>
      <c r="D6" s="44"/>
    </row>
    <row r="7" spans="1:9" ht="45" x14ac:dyDescent="0.2">
      <c r="A7" s="45" t="s">
        <v>77</v>
      </c>
      <c r="B7" s="2" t="s">
        <v>3</v>
      </c>
      <c r="D7" s="205">
        <v>41677</v>
      </c>
      <c r="E7" s="202" t="s">
        <v>288</v>
      </c>
    </row>
    <row r="8" spans="1:9" ht="30" x14ac:dyDescent="0.2">
      <c r="A8" s="45" t="s">
        <v>284</v>
      </c>
      <c r="B8" s="2" t="s">
        <v>285</v>
      </c>
      <c r="D8" s="205">
        <v>41053</v>
      </c>
      <c r="E8" s="202" t="s">
        <v>266</v>
      </c>
    </row>
    <row r="9" spans="1:9" ht="45" x14ac:dyDescent="0.2">
      <c r="A9" s="45" t="s">
        <v>6</v>
      </c>
      <c r="B9" s="48" t="s">
        <v>87</v>
      </c>
      <c r="D9" s="206">
        <v>41004</v>
      </c>
      <c r="E9" s="202" t="s">
        <v>289</v>
      </c>
    </row>
    <row r="10" spans="1:9" ht="45" x14ac:dyDescent="0.2">
      <c r="A10" s="45" t="s">
        <v>55</v>
      </c>
      <c r="B10" s="48" t="s">
        <v>149</v>
      </c>
      <c r="D10" s="206">
        <v>39809</v>
      </c>
      <c r="E10" s="202" t="s">
        <v>290</v>
      </c>
    </row>
    <row r="11" spans="1:9" ht="45" x14ac:dyDescent="0.25">
      <c r="A11" s="45" t="s">
        <v>7</v>
      </c>
      <c r="B11" s="48" t="s">
        <v>152</v>
      </c>
      <c r="C11" s="47"/>
      <c r="D11" s="206">
        <v>39784</v>
      </c>
      <c r="E11" s="202" t="s">
        <v>291</v>
      </c>
      <c r="F11" s="12"/>
      <c r="G11" s="12"/>
      <c r="H11" s="12"/>
      <c r="I11" s="12"/>
    </row>
    <row r="12" spans="1:9" ht="45" x14ac:dyDescent="0.2">
      <c r="A12" s="45" t="s">
        <v>217</v>
      </c>
      <c r="B12" s="2" t="s">
        <v>218</v>
      </c>
      <c r="C12" s="3"/>
      <c r="D12" s="206">
        <v>39722</v>
      </c>
      <c r="E12" s="202" t="s">
        <v>292</v>
      </c>
      <c r="F12" s="12"/>
      <c r="G12" s="12"/>
      <c r="H12" s="12"/>
      <c r="I12" s="12"/>
    </row>
    <row r="13" spans="1:9" ht="15.75" x14ac:dyDescent="0.2">
      <c r="A13" s="45" t="s">
        <v>54</v>
      </c>
      <c r="B13" s="48" t="s">
        <v>100</v>
      </c>
      <c r="C13" s="2"/>
      <c r="D13" s="207"/>
      <c r="E13" s="203"/>
      <c r="F13" s="12"/>
      <c r="G13" s="12"/>
      <c r="H13" s="12"/>
      <c r="I13" s="12"/>
    </row>
    <row r="14" spans="1:9" ht="30" x14ac:dyDescent="0.2">
      <c r="A14" s="45" t="s">
        <v>78</v>
      </c>
      <c r="B14" s="48" t="s">
        <v>112</v>
      </c>
      <c r="C14" s="2"/>
      <c r="D14" s="207"/>
      <c r="E14" s="204"/>
      <c r="F14" s="12"/>
      <c r="G14" s="12"/>
      <c r="H14" s="12"/>
      <c r="I14" s="12"/>
    </row>
    <row r="15" spans="1:9" ht="30" x14ac:dyDescent="0.2">
      <c r="A15" s="45" t="s">
        <v>80</v>
      </c>
      <c r="B15" s="48" t="s">
        <v>124</v>
      </c>
      <c r="C15" s="48"/>
      <c r="D15" s="208"/>
      <c r="E15" s="203"/>
      <c r="F15" s="12"/>
      <c r="G15" s="12"/>
      <c r="H15" s="12"/>
      <c r="I15" s="12"/>
    </row>
    <row r="16" spans="1:9" ht="15.75" x14ac:dyDescent="0.2">
      <c r="A16" s="45" t="s">
        <v>79</v>
      </c>
      <c r="B16" s="48" t="s">
        <v>88</v>
      </c>
      <c r="C16" s="48"/>
      <c r="D16" s="208"/>
      <c r="E16" s="203"/>
      <c r="F16" s="12"/>
      <c r="G16" s="12"/>
      <c r="H16" s="12"/>
      <c r="I16" s="12"/>
    </row>
    <row r="17" spans="1:6" ht="45" x14ac:dyDescent="0.2">
      <c r="A17" s="45" t="s">
        <v>150</v>
      </c>
      <c r="B17" s="48" t="s">
        <v>151</v>
      </c>
      <c r="C17" s="48"/>
      <c r="D17" s="209"/>
    </row>
    <row r="18" spans="1:6" ht="30" x14ac:dyDescent="0.2">
      <c r="A18" s="45" t="s">
        <v>81</v>
      </c>
      <c r="B18" s="48" t="s">
        <v>89</v>
      </c>
      <c r="C18" s="2"/>
      <c r="D18" s="209"/>
    </row>
    <row r="19" spans="1:6" ht="30" x14ac:dyDescent="0.2">
      <c r="A19" s="45" t="s">
        <v>82</v>
      </c>
      <c r="B19" s="48" t="s">
        <v>90</v>
      </c>
      <c r="C19" s="48"/>
      <c r="D19" s="209"/>
    </row>
    <row r="20" spans="1:6" ht="15.75" x14ac:dyDescent="0.2">
      <c r="A20" s="45" t="s">
        <v>286</v>
      </c>
      <c r="B20" s="203" t="s">
        <v>293</v>
      </c>
      <c r="C20" s="48"/>
      <c r="D20" s="209"/>
    </row>
    <row r="21" spans="1:6" ht="15" x14ac:dyDescent="0.2">
      <c r="C21" s="48"/>
    </row>
    <row r="22" spans="1:6" ht="15" x14ac:dyDescent="0.2">
      <c r="C22" s="48"/>
    </row>
    <row r="23" spans="1:6" ht="15" x14ac:dyDescent="0.2">
      <c r="C23" s="48"/>
    </row>
    <row r="24" spans="1:6" ht="36.75" customHeight="1" x14ac:dyDescent="0.2">
      <c r="C24" s="48"/>
    </row>
    <row r="25" spans="1:6" ht="36.75" customHeight="1" x14ac:dyDescent="0.2">
      <c r="C25" s="48"/>
      <c r="F25" s="12"/>
    </row>
    <row r="26" spans="1:6" x14ac:dyDescent="0.2">
      <c r="F26" s="12"/>
    </row>
    <row r="27" spans="1:6" x14ac:dyDescent="0.2">
      <c r="F27" s="12"/>
    </row>
    <row r="28" spans="1:6" x14ac:dyDescent="0.2">
      <c r="F28" s="12"/>
    </row>
  </sheetData>
  <customSheetViews>
    <customSheetView guid="{183997E1-9CCE-11D3-BD95-0000861AD9C2}" fitToPage="1" showRuler="0">
      <selection activeCell="D1" sqref="D1"/>
      <pageMargins left="0.75" right="0.75" top="1" bottom="1" header="0.5" footer="0.5"/>
      <headerFooter alignWithMargins="0"/>
    </customSheetView>
  </customSheetViews>
  <phoneticPr fontId="0" type="noConversion"/>
  <pageMargins left="0.75" right="0.75" top="1" bottom="1" header="0.5" footer="0.5"/>
  <pageSetup scale="3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workbookViewId="0"/>
  </sheetViews>
  <sheetFormatPr defaultRowHeight="12.75" x14ac:dyDescent="0.2"/>
  <cols>
    <col min="2" max="2" width="15.7109375" customWidth="1"/>
    <col min="3" max="5" width="15.7109375" style="4" customWidth="1"/>
  </cols>
  <sheetData>
    <row r="1" spans="1:5" ht="18" x14ac:dyDescent="0.25">
      <c r="A1" s="81" t="str">
        <f>'Table of Contents'!A1</f>
        <v>Expansion - Economic Evaluation Model 2022</v>
      </c>
    </row>
    <row r="3" spans="1:5" x14ac:dyDescent="0.2">
      <c r="A3" s="11" t="s">
        <v>84</v>
      </c>
    </row>
    <row r="4" spans="1:5" x14ac:dyDescent="0.2">
      <c r="D4" s="4" t="s">
        <v>61</v>
      </c>
    </row>
    <row r="5" spans="1:5" x14ac:dyDescent="0.2">
      <c r="B5" s="4" t="s">
        <v>95</v>
      </c>
      <c r="C5" s="14" t="s">
        <v>70</v>
      </c>
      <c r="D5" s="4" t="s">
        <v>62</v>
      </c>
      <c r="E5" s="4" t="s">
        <v>63</v>
      </c>
    </row>
    <row r="6" spans="1:5" x14ac:dyDescent="0.2">
      <c r="B6" s="4" t="s">
        <v>60</v>
      </c>
      <c r="C6" s="4" t="s">
        <v>96</v>
      </c>
      <c r="D6" s="4" t="s">
        <v>33</v>
      </c>
      <c r="E6" s="4" t="s">
        <v>64</v>
      </c>
    </row>
    <row r="7" spans="1:5" x14ac:dyDescent="0.2">
      <c r="A7">
        <f>'Baseline Inputs'!C8</f>
        <v>2022</v>
      </c>
      <c r="B7" s="62">
        <f>'Baseline Inputs'!B$230</f>
        <v>0</v>
      </c>
      <c r="C7" s="62">
        <f>B7</f>
        <v>0</v>
      </c>
      <c r="D7" s="62">
        <f>'Baseline Inputs'!$B$288/100</f>
        <v>0</v>
      </c>
      <c r="E7" s="62">
        <f>C7*D7</f>
        <v>0</v>
      </c>
    </row>
    <row r="8" spans="1:5" x14ac:dyDescent="0.2">
      <c r="A8">
        <f>A7+1</f>
        <v>2023</v>
      </c>
      <c r="B8" s="62">
        <f>'Baseline Inputs'!C$230</f>
        <v>0</v>
      </c>
      <c r="C8" s="62">
        <f>C7+B8</f>
        <v>0</v>
      </c>
      <c r="D8" s="21">
        <f>IF(ISBLANK('Baseline Inputs'!$C$288), D7,'Baseline Inputs'!$C$288/100)</f>
        <v>0</v>
      </c>
      <c r="E8" s="62">
        <f>C8*D8</f>
        <v>0</v>
      </c>
    </row>
    <row r="9" spans="1:5" x14ac:dyDescent="0.2">
      <c r="A9">
        <f>A8+1</f>
        <v>2024</v>
      </c>
      <c r="B9" s="62">
        <f>'Baseline Inputs'!D$230</f>
        <v>0</v>
      </c>
      <c r="C9" s="62">
        <f>C8+B9</f>
        <v>0</v>
      </c>
      <c r="D9" s="21">
        <f>IF(ISBLANK('Baseline Inputs'!$D$288), D8,'Baseline Inputs'!$D$288/100)</f>
        <v>0</v>
      </c>
      <c r="E9" s="62">
        <f>C9*D9</f>
        <v>0</v>
      </c>
    </row>
    <row r="10" spans="1:5" x14ac:dyDescent="0.2">
      <c r="A10">
        <f>A9+1</f>
        <v>2025</v>
      </c>
      <c r="B10" s="62">
        <f>'Baseline Inputs'!E$230</f>
        <v>0</v>
      </c>
      <c r="C10" s="62">
        <f>C9+B10</f>
        <v>0</v>
      </c>
      <c r="D10" s="21">
        <f>IF(ISBLANK('Baseline Inputs'!$E$288), D9,'Baseline Inputs'!$E$288/100)</f>
        <v>0</v>
      </c>
      <c r="E10" s="62">
        <f>C10*D10</f>
        <v>0</v>
      </c>
    </row>
    <row r="11" spans="1:5" x14ac:dyDescent="0.2">
      <c r="A11">
        <f>A10+1</f>
        <v>2026</v>
      </c>
      <c r="B11" s="62">
        <f>'Baseline Inputs'!F$230</f>
        <v>0</v>
      </c>
      <c r="C11" s="62">
        <f>C10+B11</f>
        <v>0</v>
      </c>
      <c r="D11" s="21">
        <f>IF(ISBLANK('Baseline Inputs'!$F$288), D10,'Baseline Inputs'!$F$288/100)</f>
        <v>0</v>
      </c>
      <c r="E11" s="62">
        <f>C11*D11</f>
        <v>0</v>
      </c>
    </row>
  </sheetData>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O311"/>
  <sheetViews>
    <sheetView workbookViewId="0">
      <selection activeCell="Q47" sqref="Q47"/>
    </sheetView>
  </sheetViews>
  <sheetFormatPr defaultRowHeight="12.75" x14ac:dyDescent="0.2"/>
  <cols>
    <col min="1" max="61" width="12.7109375" customWidth="1"/>
    <col min="62" max="67" width="15.7109375" style="4" customWidth="1"/>
  </cols>
  <sheetData>
    <row r="1" spans="1:67" ht="18" x14ac:dyDescent="0.25">
      <c r="A1" s="81" t="str">
        <f>'Table of Contents'!A1</f>
        <v>Expansion - Economic Evaluation Model 2022</v>
      </c>
      <c r="Q1" s="44"/>
    </row>
    <row r="3" spans="1:67" x14ac:dyDescent="0.2">
      <c r="A3" s="11" t="s">
        <v>91</v>
      </c>
      <c r="Q3" s="11"/>
    </row>
    <row r="5" spans="1:67" x14ac:dyDescent="0.2">
      <c r="A5" t="s">
        <v>65</v>
      </c>
    </row>
    <row r="7" spans="1:67" x14ac:dyDescent="0.2">
      <c r="B7" s="4" t="str">
        <f>'Project Summary'!$A$9</f>
        <v>1820 Distribution Station Equipment</v>
      </c>
      <c r="E7" s="4" t="str">
        <f>'Project Summary'!$A$10</f>
        <v>1830 Poles, Towers &amp; Fixtures</v>
      </c>
      <c r="H7" s="4" t="str">
        <f>'Project Summary'!$A$11</f>
        <v>1835 Overhead Conductors &amp; Devices</v>
      </c>
      <c r="K7" s="4" t="str">
        <f>'Project Summary'!$A$12</f>
        <v>1840 Underground Conduit</v>
      </c>
      <c r="N7" s="4" t="str">
        <f>'Project Summary'!$A$13</f>
        <v>1845 Underground Conductors &amp; Devices</v>
      </c>
      <c r="Q7" s="4" t="str">
        <f>'Project Summary'!$A$14</f>
        <v>1850 Transformers</v>
      </c>
      <c r="T7" s="4" t="str">
        <f>'Project Summary'!$A$15</f>
        <v>1855 Services</v>
      </c>
      <c r="W7" s="4" t="str">
        <f>'Project Summary'!$A$16</f>
        <v>1860 Meters</v>
      </c>
      <c r="Z7" s="4">
        <f>'Project Summary'!$A$17</f>
        <v>0</v>
      </c>
      <c r="AC7" s="4">
        <f>'Project Summary'!$A$18</f>
        <v>0</v>
      </c>
      <c r="AF7" s="4" t="str">
        <f>'Project Summary'!$A$21</f>
        <v>1820 Distribution Station Equipment</v>
      </c>
      <c r="AI7" s="4" t="str">
        <f>'Project Summary'!$A$22</f>
        <v>1830 Poles, Towers &amp; Fixtures</v>
      </c>
      <c r="AL7" s="4" t="str">
        <f>'Project Summary'!$A$23</f>
        <v>1835 Overhead Conductors &amp; Devices</v>
      </c>
      <c r="AO7" s="4" t="str">
        <f>'Project Summary'!$A$24</f>
        <v>1840 Underground Conduit</v>
      </c>
      <c r="AR7" s="4" t="str">
        <f>'Project Summary'!$A$25</f>
        <v>1845 Underground Conductors &amp; Devices</v>
      </c>
      <c r="AU7" s="4" t="str">
        <f>'Project Summary'!$A$26</f>
        <v>1850 Transformers</v>
      </c>
      <c r="AX7" s="4" t="str">
        <f>'Project Summary'!$A$27</f>
        <v>1855 Services</v>
      </c>
      <c r="BA7" s="4" t="str">
        <f>'Project Summary'!$A$28</f>
        <v>1860 Meters</v>
      </c>
      <c r="BD7" s="4">
        <f>'Project Summary'!$A$29</f>
        <v>0</v>
      </c>
      <c r="BG7" s="4">
        <f>'Project Summary'!$A$30</f>
        <v>0</v>
      </c>
    </row>
    <row r="9" spans="1:67" x14ac:dyDescent="0.2">
      <c r="A9" s="4">
        <f>'Baseline Inputs'!C8</f>
        <v>2022</v>
      </c>
      <c r="B9" s="62">
        <f>'Baseline Inputs'!$B$205</f>
        <v>0</v>
      </c>
      <c r="C9" s="62"/>
      <c r="D9" s="62"/>
      <c r="E9" s="62">
        <f>'Baseline Inputs'!$B$206</f>
        <v>0</v>
      </c>
      <c r="F9" s="62"/>
      <c r="G9" s="62"/>
      <c r="H9" s="62">
        <f>'Baseline Inputs'!$B$207</f>
        <v>0</v>
      </c>
      <c r="I9" s="62"/>
      <c r="J9" s="62"/>
      <c r="K9" s="62">
        <f>'Baseline Inputs'!$B$208</f>
        <v>0</v>
      </c>
      <c r="L9" s="62"/>
      <c r="M9" s="62"/>
      <c r="N9" s="62">
        <f>'Baseline Inputs'!$B$209</f>
        <v>12218.77</v>
      </c>
      <c r="O9" s="62"/>
      <c r="P9" s="62"/>
      <c r="Q9" s="62">
        <f>'Baseline Inputs'!$B$210</f>
        <v>9478.81</v>
      </c>
      <c r="R9" s="25"/>
      <c r="S9" s="25"/>
      <c r="T9" s="62">
        <f>'Baseline Inputs'!$B$211</f>
        <v>29633.81</v>
      </c>
      <c r="U9" s="25"/>
      <c r="V9" s="25"/>
      <c r="W9" s="62">
        <f>'Baseline Inputs'!$B$212</f>
        <v>0</v>
      </c>
      <c r="X9" s="25"/>
      <c r="Y9" s="25"/>
      <c r="Z9" s="62">
        <f>'Baseline Inputs'!$B$213</f>
        <v>0</v>
      </c>
      <c r="AA9" s="25"/>
      <c r="AB9" s="25"/>
      <c r="AC9" s="62">
        <f>'Baseline Inputs'!$B$214</f>
        <v>0</v>
      </c>
      <c r="AD9" s="25"/>
      <c r="AE9" s="25"/>
      <c r="AF9" s="62">
        <f>'Baseline Inputs'!$B$218</f>
        <v>0</v>
      </c>
      <c r="AG9" s="25"/>
      <c r="AH9" s="25"/>
      <c r="AI9" s="62">
        <f>'Baseline Inputs'!$B$219</f>
        <v>0</v>
      </c>
      <c r="AJ9" s="25"/>
      <c r="AK9" s="25"/>
      <c r="AL9" s="62">
        <f>'Baseline Inputs'!$B$220</f>
        <v>0</v>
      </c>
      <c r="AM9" s="25"/>
      <c r="AN9" s="25"/>
      <c r="AO9" s="62">
        <f>'Baseline Inputs'!$B$221</f>
        <v>0</v>
      </c>
      <c r="AP9" s="25"/>
      <c r="AQ9" s="25"/>
      <c r="AR9" s="62">
        <f>'Baseline Inputs'!$B$222</f>
        <v>0</v>
      </c>
      <c r="AS9" s="25"/>
      <c r="AT9" s="25"/>
      <c r="AU9" s="62">
        <f>'Baseline Inputs'!$B$223</f>
        <v>0</v>
      </c>
      <c r="AV9" s="25"/>
      <c r="AW9" s="25"/>
      <c r="AX9" s="62">
        <f>'Baseline Inputs'!$B$224</f>
        <v>0</v>
      </c>
      <c r="AY9" s="25"/>
      <c r="AZ9" s="25"/>
      <c r="BA9" s="62">
        <f>'Baseline Inputs'!$B$225</f>
        <v>0</v>
      </c>
      <c r="BB9" s="25"/>
      <c r="BC9" s="25"/>
      <c r="BD9" s="62">
        <f>'Baseline Inputs'!$B$226</f>
        <v>0</v>
      </c>
      <c r="BE9" s="25"/>
      <c r="BF9" s="25"/>
      <c r="BG9" s="62">
        <f>'Baseline Inputs'!$B$227</f>
        <v>0</v>
      </c>
      <c r="BH9" s="25"/>
      <c r="BI9" s="25"/>
      <c r="BJ9" s="5"/>
      <c r="BK9" s="35"/>
      <c r="BL9" s="35"/>
    </row>
    <row r="10" spans="1:67" x14ac:dyDescent="0.2">
      <c r="A10" s="4">
        <f>A9+1</f>
        <v>2023</v>
      </c>
      <c r="B10" s="62">
        <f>'Baseline Inputs'!$C$205</f>
        <v>0</v>
      </c>
      <c r="C10" s="62"/>
      <c r="D10" s="62"/>
      <c r="E10" s="62">
        <f>'Baseline Inputs'!$C$206</f>
        <v>0</v>
      </c>
      <c r="F10" s="62"/>
      <c r="G10" s="62"/>
      <c r="H10" s="62">
        <f>'Baseline Inputs'!$C$207</f>
        <v>0</v>
      </c>
      <c r="I10" s="62"/>
      <c r="J10" s="62"/>
      <c r="K10" s="62">
        <f>'Baseline Inputs'!$C$208</f>
        <v>0</v>
      </c>
      <c r="L10" s="62"/>
      <c r="M10" s="62"/>
      <c r="N10" s="62">
        <f>'Baseline Inputs'!$C$209</f>
        <v>0</v>
      </c>
      <c r="O10" s="62"/>
      <c r="P10" s="62"/>
      <c r="Q10" s="62">
        <f>'Baseline Inputs'!$C$210</f>
        <v>0</v>
      </c>
      <c r="R10" s="25"/>
      <c r="S10" s="25"/>
      <c r="T10" s="62">
        <f>'Baseline Inputs'!$C$211</f>
        <v>0</v>
      </c>
      <c r="U10" s="25"/>
      <c r="V10" s="25"/>
      <c r="W10" s="62">
        <f>'Baseline Inputs'!$C$212</f>
        <v>0</v>
      </c>
      <c r="X10" s="25"/>
      <c r="Y10" s="25"/>
      <c r="Z10" s="62">
        <f>'Baseline Inputs'!$C$213</f>
        <v>0</v>
      </c>
      <c r="AA10" s="25"/>
      <c r="AB10" s="25"/>
      <c r="AC10" s="62">
        <f>'Baseline Inputs'!$C$214</f>
        <v>0</v>
      </c>
      <c r="AD10" s="25"/>
      <c r="AE10" s="25"/>
      <c r="AF10" s="62">
        <f>'Baseline Inputs'!$C$218</f>
        <v>0</v>
      </c>
      <c r="AG10" s="25"/>
      <c r="AH10" s="25"/>
      <c r="AI10" s="62">
        <f>'Baseline Inputs'!$C$219</f>
        <v>0</v>
      </c>
      <c r="AJ10" s="25"/>
      <c r="AK10" s="25"/>
      <c r="AL10" s="62">
        <f>'Baseline Inputs'!$C$220</f>
        <v>0</v>
      </c>
      <c r="AM10" s="25"/>
      <c r="AN10" s="25"/>
      <c r="AO10" s="62">
        <f>'Baseline Inputs'!$C$221</f>
        <v>0</v>
      </c>
      <c r="AP10" s="25"/>
      <c r="AQ10" s="25"/>
      <c r="AR10" s="62">
        <f>'Baseline Inputs'!$C$222</f>
        <v>0</v>
      </c>
      <c r="AS10" s="25"/>
      <c r="AT10" s="25"/>
      <c r="AU10" s="62">
        <f>'Baseline Inputs'!$C$223</f>
        <v>0</v>
      </c>
      <c r="AV10" s="25"/>
      <c r="AW10" s="25"/>
      <c r="AX10" s="62">
        <f>'Baseline Inputs'!$C$224</f>
        <v>0</v>
      </c>
      <c r="AY10" s="25"/>
      <c r="AZ10" s="25"/>
      <c r="BA10" s="62">
        <f>'Baseline Inputs'!$C$225</f>
        <v>0</v>
      </c>
      <c r="BB10" s="25"/>
      <c r="BC10" s="25"/>
      <c r="BD10" s="62">
        <f>'Baseline Inputs'!$C$226</f>
        <v>0</v>
      </c>
      <c r="BE10" s="25"/>
      <c r="BF10" s="25"/>
      <c r="BG10" s="62">
        <f>'Baseline Inputs'!$C$227</f>
        <v>0</v>
      </c>
      <c r="BH10" s="25"/>
      <c r="BI10" s="25"/>
      <c r="BJ10" s="5"/>
      <c r="BK10" s="35"/>
      <c r="BL10" s="35"/>
    </row>
    <row r="11" spans="1:67" x14ac:dyDescent="0.2">
      <c r="A11" s="4">
        <f>A10+1</f>
        <v>2024</v>
      </c>
      <c r="B11" s="62">
        <f>'Baseline Inputs'!$D$205</f>
        <v>0</v>
      </c>
      <c r="C11" s="62"/>
      <c r="D11" s="62"/>
      <c r="E11" s="62">
        <f>'Baseline Inputs'!$D$206</f>
        <v>0</v>
      </c>
      <c r="F11" s="62"/>
      <c r="G11" s="62"/>
      <c r="H11" s="62">
        <f>'Baseline Inputs'!$D$207</f>
        <v>0</v>
      </c>
      <c r="I11" s="62"/>
      <c r="J11" s="62"/>
      <c r="K11" s="62">
        <f>'Baseline Inputs'!$D$208</f>
        <v>0</v>
      </c>
      <c r="L11" s="62"/>
      <c r="M11" s="62"/>
      <c r="N11" s="62">
        <f>'Baseline Inputs'!$D$209</f>
        <v>0</v>
      </c>
      <c r="O11" s="62"/>
      <c r="P11" s="62"/>
      <c r="Q11" s="62">
        <f>'Baseline Inputs'!$D$210</f>
        <v>0</v>
      </c>
      <c r="R11" s="25"/>
      <c r="S11" s="25"/>
      <c r="T11" s="62">
        <f>'Baseline Inputs'!$D$211</f>
        <v>0</v>
      </c>
      <c r="U11" s="25"/>
      <c r="V11" s="25"/>
      <c r="W11" s="62">
        <f>'Baseline Inputs'!$D$212</f>
        <v>0</v>
      </c>
      <c r="X11" s="25"/>
      <c r="Y11" s="25"/>
      <c r="Z11" s="62">
        <f>'Baseline Inputs'!$D$213</f>
        <v>0</v>
      </c>
      <c r="AA11" s="25"/>
      <c r="AB11" s="25"/>
      <c r="AC11" s="62">
        <f>'Baseline Inputs'!$D$214</f>
        <v>0</v>
      </c>
      <c r="AD11" s="25"/>
      <c r="AE11" s="25"/>
      <c r="AF11" s="62">
        <f>'Baseline Inputs'!$D$218</f>
        <v>0</v>
      </c>
      <c r="AG11" s="25"/>
      <c r="AH11" s="25"/>
      <c r="AI11" s="62">
        <f>'Baseline Inputs'!$D$219</f>
        <v>0</v>
      </c>
      <c r="AJ11" s="25"/>
      <c r="AK11" s="25"/>
      <c r="AL11" s="62">
        <f>'Baseline Inputs'!$D$220</f>
        <v>0</v>
      </c>
      <c r="AM11" s="25"/>
      <c r="AN11" s="25"/>
      <c r="AO11" s="62">
        <f>'Baseline Inputs'!$D$221</f>
        <v>0</v>
      </c>
      <c r="AP11" s="25"/>
      <c r="AQ11" s="25"/>
      <c r="AR11" s="62">
        <f>'Baseline Inputs'!$D$222</f>
        <v>0</v>
      </c>
      <c r="AS11" s="25"/>
      <c r="AT11" s="25"/>
      <c r="AU11" s="62">
        <f>'Baseline Inputs'!$D$223</f>
        <v>0</v>
      </c>
      <c r="AV11" s="25"/>
      <c r="AW11" s="25"/>
      <c r="AX11" s="62">
        <f>'Baseline Inputs'!$D$224</f>
        <v>0</v>
      </c>
      <c r="AY11" s="25"/>
      <c r="AZ11" s="25"/>
      <c r="BA11" s="62">
        <f>'Baseline Inputs'!$D$225</f>
        <v>0</v>
      </c>
      <c r="BB11" s="25"/>
      <c r="BC11" s="25"/>
      <c r="BD11" s="62">
        <f>'Baseline Inputs'!$D$226</f>
        <v>0</v>
      </c>
      <c r="BE11" s="25"/>
      <c r="BF11" s="25"/>
      <c r="BG11" s="62">
        <f>'Baseline Inputs'!$D$227</f>
        <v>0</v>
      </c>
      <c r="BH11" s="25"/>
      <c r="BI11" s="25"/>
      <c r="BJ11" s="5"/>
      <c r="BK11" s="35"/>
      <c r="BL11" s="35"/>
    </row>
    <row r="12" spans="1:67" x14ac:dyDescent="0.2">
      <c r="A12" s="4">
        <f>A11+1</f>
        <v>2025</v>
      </c>
      <c r="B12" s="62">
        <f>'Baseline Inputs'!$E$205</f>
        <v>0</v>
      </c>
      <c r="C12" s="62"/>
      <c r="D12" s="62"/>
      <c r="E12" s="62">
        <f>'Baseline Inputs'!$E$206</f>
        <v>0</v>
      </c>
      <c r="F12" s="62"/>
      <c r="G12" s="62"/>
      <c r="H12" s="62">
        <f>'Baseline Inputs'!$E$207</f>
        <v>0</v>
      </c>
      <c r="I12" s="62"/>
      <c r="J12" s="62"/>
      <c r="K12" s="62">
        <f>'Baseline Inputs'!$E$208</f>
        <v>0</v>
      </c>
      <c r="L12" s="62"/>
      <c r="M12" s="62"/>
      <c r="N12" s="62">
        <f>'Baseline Inputs'!$E$209</f>
        <v>0</v>
      </c>
      <c r="O12" s="62"/>
      <c r="P12" s="62"/>
      <c r="Q12" s="62">
        <f>'Baseline Inputs'!$E$210</f>
        <v>0</v>
      </c>
      <c r="R12" s="25"/>
      <c r="S12" s="25"/>
      <c r="T12" s="62">
        <f>'Baseline Inputs'!$E$211</f>
        <v>0</v>
      </c>
      <c r="U12" s="25"/>
      <c r="V12" s="25"/>
      <c r="W12" s="62">
        <f>'Baseline Inputs'!$E$212</f>
        <v>0</v>
      </c>
      <c r="X12" s="25"/>
      <c r="Y12" s="25"/>
      <c r="Z12" s="62">
        <f>'Baseline Inputs'!$E$213</f>
        <v>0</v>
      </c>
      <c r="AA12" s="25"/>
      <c r="AB12" s="25"/>
      <c r="AC12" s="62">
        <f>'Baseline Inputs'!$E$214</f>
        <v>0</v>
      </c>
      <c r="AD12" s="25"/>
      <c r="AE12" s="25"/>
      <c r="AF12" s="62">
        <f>'Baseline Inputs'!$E$218</f>
        <v>0</v>
      </c>
      <c r="AG12" s="25"/>
      <c r="AH12" s="25"/>
      <c r="AI12" s="62">
        <f>'Baseline Inputs'!$E$219</f>
        <v>0</v>
      </c>
      <c r="AJ12" s="25"/>
      <c r="AK12" s="25"/>
      <c r="AL12" s="62">
        <f>'Baseline Inputs'!$E$220</f>
        <v>0</v>
      </c>
      <c r="AM12" s="25"/>
      <c r="AN12" s="25"/>
      <c r="AO12" s="62">
        <f>'Baseline Inputs'!$E$221</f>
        <v>0</v>
      </c>
      <c r="AP12" s="25"/>
      <c r="AQ12" s="25"/>
      <c r="AR12" s="62">
        <f>'Baseline Inputs'!$E$222</f>
        <v>0</v>
      </c>
      <c r="AS12" s="25"/>
      <c r="AT12" s="25"/>
      <c r="AU12" s="62">
        <f>'Baseline Inputs'!$E$223</f>
        <v>0</v>
      </c>
      <c r="AV12" s="25"/>
      <c r="AW12" s="25"/>
      <c r="AX12" s="62">
        <f>'Baseline Inputs'!$E$224</f>
        <v>0</v>
      </c>
      <c r="AY12" s="25"/>
      <c r="AZ12" s="25"/>
      <c r="BA12" s="62">
        <f>'Baseline Inputs'!$E$225</f>
        <v>0</v>
      </c>
      <c r="BB12" s="25"/>
      <c r="BC12" s="25"/>
      <c r="BD12" s="62">
        <f>'Baseline Inputs'!$E$226</f>
        <v>0</v>
      </c>
      <c r="BE12" s="25"/>
      <c r="BF12" s="25"/>
      <c r="BG12" s="62">
        <f>'Baseline Inputs'!$E$227</f>
        <v>0</v>
      </c>
      <c r="BH12" s="25"/>
      <c r="BI12" s="25"/>
      <c r="BJ12" s="5"/>
      <c r="BK12" s="35"/>
      <c r="BL12" s="35"/>
    </row>
    <row r="13" spans="1:67" x14ac:dyDescent="0.2">
      <c r="A13" s="4">
        <f>A12+1</f>
        <v>2026</v>
      </c>
      <c r="B13" s="62">
        <f>'Baseline Inputs'!$F$205</f>
        <v>0</v>
      </c>
      <c r="C13" s="62"/>
      <c r="D13" s="62"/>
      <c r="E13" s="62">
        <f>'Baseline Inputs'!$F$206</f>
        <v>0</v>
      </c>
      <c r="F13" s="62"/>
      <c r="G13" s="62"/>
      <c r="H13" s="62">
        <f>'Baseline Inputs'!$F$207</f>
        <v>0</v>
      </c>
      <c r="I13" s="62"/>
      <c r="J13" s="62"/>
      <c r="K13" s="62">
        <f>'Baseline Inputs'!$F$208</f>
        <v>0</v>
      </c>
      <c r="L13" s="62"/>
      <c r="M13" s="62"/>
      <c r="N13" s="62">
        <f>'Baseline Inputs'!$F$209</f>
        <v>0</v>
      </c>
      <c r="O13" s="62"/>
      <c r="P13" s="62"/>
      <c r="Q13" s="62">
        <f>'Baseline Inputs'!$F$210</f>
        <v>0</v>
      </c>
      <c r="R13" s="25"/>
      <c r="S13" s="25"/>
      <c r="T13" s="62">
        <f>'Baseline Inputs'!$F$211</f>
        <v>0</v>
      </c>
      <c r="U13" s="25"/>
      <c r="V13" s="25"/>
      <c r="W13" s="62">
        <f>'Baseline Inputs'!$F$212</f>
        <v>0</v>
      </c>
      <c r="X13" s="25"/>
      <c r="Y13" s="25"/>
      <c r="Z13" s="62">
        <f>'Baseline Inputs'!$F$213</f>
        <v>0</v>
      </c>
      <c r="AA13" s="25"/>
      <c r="AB13" s="25"/>
      <c r="AC13" s="62">
        <f>'Baseline Inputs'!$F$214</f>
        <v>0</v>
      </c>
      <c r="AD13" s="25"/>
      <c r="AE13" s="25"/>
      <c r="AF13" s="62">
        <f>'Baseline Inputs'!$F$218</f>
        <v>0</v>
      </c>
      <c r="AG13" s="25"/>
      <c r="AH13" s="25"/>
      <c r="AI13" s="62">
        <f>'Baseline Inputs'!$F$219</f>
        <v>0</v>
      </c>
      <c r="AJ13" s="25"/>
      <c r="AK13" s="25"/>
      <c r="AL13" s="62">
        <f>'Baseline Inputs'!$F$220</f>
        <v>0</v>
      </c>
      <c r="AM13" s="25"/>
      <c r="AN13" s="25"/>
      <c r="AO13" s="62">
        <f>'Baseline Inputs'!$F$221</f>
        <v>0</v>
      </c>
      <c r="AP13" s="25"/>
      <c r="AQ13" s="25"/>
      <c r="AR13" s="62">
        <f>'Baseline Inputs'!$F$222</f>
        <v>0</v>
      </c>
      <c r="AS13" s="25"/>
      <c r="AT13" s="25"/>
      <c r="AU13" s="62">
        <f>'Baseline Inputs'!$F$223</f>
        <v>0</v>
      </c>
      <c r="AV13" s="25"/>
      <c r="AW13" s="25"/>
      <c r="AX13" s="62">
        <f>'Baseline Inputs'!$F$224</f>
        <v>0</v>
      </c>
      <c r="AY13" s="25"/>
      <c r="AZ13" s="25"/>
      <c r="BA13" s="62">
        <f>'Baseline Inputs'!$F$225</f>
        <v>0</v>
      </c>
      <c r="BB13" s="25"/>
      <c r="BC13" s="25"/>
      <c r="BD13" s="62">
        <f>'Baseline Inputs'!$F$226</f>
        <v>0</v>
      </c>
      <c r="BE13" s="25"/>
      <c r="BF13" s="25"/>
      <c r="BG13" s="62">
        <f>'Baseline Inputs'!$F$227</f>
        <v>0</v>
      </c>
      <c r="BH13" s="25"/>
      <c r="BI13" s="25"/>
      <c r="BJ13" s="5"/>
      <c r="BK13" s="35"/>
      <c r="BL13" s="35"/>
      <c r="BM13" s="4" t="s">
        <v>98</v>
      </c>
      <c r="BN13" s="4" t="s">
        <v>69</v>
      </c>
      <c r="BO13" s="4" t="s">
        <v>12</v>
      </c>
    </row>
    <row r="14" spans="1:67" x14ac:dyDescent="0.2">
      <c r="BJ14" s="4" t="s">
        <v>68</v>
      </c>
      <c r="BK14" s="4" t="s">
        <v>35</v>
      </c>
      <c r="BL14" s="4" t="s">
        <v>39</v>
      </c>
      <c r="BM14" s="4" t="s">
        <v>99</v>
      </c>
      <c r="BN14" s="4" t="s">
        <v>62</v>
      </c>
      <c r="BO14" s="4" t="s">
        <v>209</v>
      </c>
    </row>
    <row r="15" spans="1:67" x14ac:dyDescent="0.2">
      <c r="B15" s="4" t="s">
        <v>66</v>
      </c>
      <c r="C15" s="4" t="s">
        <v>4</v>
      </c>
      <c r="D15" s="4" t="s">
        <v>67</v>
      </c>
      <c r="E15" s="4" t="s">
        <v>66</v>
      </c>
      <c r="F15" s="4" t="s">
        <v>4</v>
      </c>
      <c r="G15" s="4" t="s">
        <v>67</v>
      </c>
      <c r="H15" s="4" t="s">
        <v>66</v>
      </c>
      <c r="I15" s="4" t="s">
        <v>4</v>
      </c>
      <c r="J15" s="4" t="s">
        <v>67</v>
      </c>
      <c r="K15" s="4" t="s">
        <v>66</v>
      </c>
      <c r="L15" s="4" t="s">
        <v>4</v>
      </c>
      <c r="M15" s="4" t="s">
        <v>67</v>
      </c>
      <c r="N15" s="4" t="s">
        <v>66</v>
      </c>
      <c r="O15" s="4" t="s">
        <v>4</v>
      </c>
      <c r="P15" s="4" t="s">
        <v>67</v>
      </c>
      <c r="Q15" s="4" t="s">
        <v>66</v>
      </c>
      <c r="R15" s="4" t="s">
        <v>4</v>
      </c>
      <c r="S15" s="4" t="s">
        <v>67</v>
      </c>
      <c r="T15" s="4" t="s">
        <v>66</v>
      </c>
      <c r="U15" s="4" t="s">
        <v>4</v>
      </c>
      <c r="V15" s="4" t="s">
        <v>67</v>
      </c>
      <c r="W15" s="4" t="s">
        <v>66</v>
      </c>
      <c r="X15" s="4" t="s">
        <v>4</v>
      </c>
      <c r="Y15" s="4" t="s">
        <v>67</v>
      </c>
      <c r="Z15" s="4" t="s">
        <v>66</v>
      </c>
      <c r="AA15" s="4" t="s">
        <v>4</v>
      </c>
      <c r="AB15" s="4" t="s">
        <v>67</v>
      </c>
      <c r="AC15" s="4" t="s">
        <v>66</v>
      </c>
      <c r="AD15" s="4" t="s">
        <v>4</v>
      </c>
      <c r="AE15" s="4" t="s">
        <v>67</v>
      </c>
      <c r="AF15" s="4" t="s">
        <v>66</v>
      </c>
      <c r="AG15" s="4" t="s">
        <v>4</v>
      </c>
      <c r="AH15" s="4" t="s">
        <v>67</v>
      </c>
      <c r="AI15" s="4" t="s">
        <v>66</v>
      </c>
      <c r="AJ15" s="4" t="s">
        <v>4</v>
      </c>
      <c r="AK15" s="4" t="s">
        <v>67</v>
      </c>
      <c r="AL15" s="4" t="s">
        <v>66</v>
      </c>
      <c r="AM15" s="4" t="s">
        <v>4</v>
      </c>
      <c r="AN15" s="4" t="s">
        <v>67</v>
      </c>
      <c r="AO15" s="4" t="s">
        <v>66</v>
      </c>
      <c r="AP15" s="4" t="s">
        <v>4</v>
      </c>
      <c r="AQ15" s="4" t="s">
        <v>67</v>
      </c>
      <c r="AR15" s="4" t="s">
        <v>66</v>
      </c>
      <c r="AS15" s="4" t="s">
        <v>4</v>
      </c>
      <c r="AT15" s="4" t="s">
        <v>67</v>
      </c>
      <c r="AU15" s="4" t="s">
        <v>66</v>
      </c>
      <c r="AV15" s="4" t="s">
        <v>4</v>
      </c>
      <c r="AW15" s="4" t="s">
        <v>67</v>
      </c>
      <c r="AX15" s="4" t="s">
        <v>66</v>
      </c>
      <c r="AY15" s="4" t="s">
        <v>4</v>
      </c>
      <c r="AZ15" s="4" t="s">
        <v>67</v>
      </c>
      <c r="BA15" s="4" t="s">
        <v>66</v>
      </c>
      <c r="BB15" s="4" t="s">
        <v>4</v>
      </c>
      <c r="BC15" s="4" t="s">
        <v>67</v>
      </c>
      <c r="BD15" s="4" t="s">
        <v>66</v>
      </c>
      <c r="BE15" s="4" t="s">
        <v>4</v>
      </c>
      <c r="BF15" s="4" t="s">
        <v>67</v>
      </c>
      <c r="BG15" s="4" t="s">
        <v>66</v>
      </c>
      <c r="BH15" s="4" t="s">
        <v>4</v>
      </c>
      <c r="BI15" s="4" t="s">
        <v>67</v>
      </c>
      <c r="BJ15" s="4" t="s">
        <v>4</v>
      </c>
      <c r="BK15" s="4" t="s">
        <v>67</v>
      </c>
      <c r="BL15" s="4" t="s">
        <v>97</v>
      </c>
      <c r="BM15" s="4" t="s">
        <v>12</v>
      </c>
      <c r="BN15" s="4" t="s">
        <v>33</v>
      </c>
      <c r="BO15" s="4" t="s">
        <v>69</v>
      </c>
    </row>
    <row r="16" spans="1:67" x14ac:dyDescent="0.2">
      <c r="A16" s="4">
        <f>'Baseline Inputs'!C8</f>
        <v>2022</v>
      </c>
      <c r="B16" s="62">
        <f>B9</f>
        <v>0</v>
      </c>
      <c r="C16" s="62">
        <f>B9*'Baseline Inputs'!$C$252/100/2</f>
        <v>0</v>
      </c>
      <c r="D16" s="62">
        <f t="shared" ref="D16:D21" si="0">B16-C16</f>
        <v>0</v>
      </c>
      <c r="E16" s="62">
        <f>E9</f>
        <v>0</v>
      </c>
      <c r="F16" s="62">
        <f>E9*'Baseline Inputs'!$C$253/100/2</f>
        <v>0</v>
      </c>
      <c r="G16" s="62">
        <f>E16-F16</f>
        <v>0</v>
      </c>
      <c r="H16" s="62">
        <f>H9</f>
        <v>0</v>
      </c>
      <c r="I16" s="62">
        <f>H9*'Baseline Inputs'!$C$254/100/2</f>
        <v>0</v>
      </c>
      <c r="J16" s="62">
        <f>H16-I16</f>
        <v>0</v>
      </c>
      <c r="K16" s="62">
        <f>K9</f>
        <v>0</v>
      </c>
      <c r="L16" s="62">
        <f>K9*'Baseline Inputs'!$C$255/100/2</f>
        <v>0</v>
      </c>
      <c r="M16" s="62">
        <f>K16-L16</f>
        <v>0</v>
      </c>
      <c r="N16" s="62">
        <f>N9</f>
        <v>12218.77</v>
      </c>
      <c r="O16" s="62">
        <f>N9*'Baseline Inputs'!$C$256/100/2</f>
        <v>488.75080000000003</v>
      </c>
      <c r="P16" s="62">
        <f>N16-O16</f>
        <v>11730.019200000001</v>
      </c>
      <c r="Q16" s="62">
        <f>Q9</f>
        <v>9478.81</v>
      </c>
      <c r="R16" s="62">
        <f>Q9*'Baseline Inputs'!$C$257/100/2</f>
        <v>379.1524</v>
      </c>
      <c r="S16" s="62">
        <f>Q16-R16</f>
        <v>9099.6575999999986</v>
      </c>
      <c r="T16" s="62">
        <f>T9</f>
        <v>29633.81</v>
      </c>
      <c r="U16" s="62">
        <f>T9*'Baseline Inputs'!$C$258/100/2</f>
        <v>1185.3524</v>
      </c>
      <c r="V16" s="62">
        <f>T16-U16</f>
        <v>28448.457600000002</v>
      </c>
      <c r="W16" s="62">
        <f>W9</f>
        <v>0</v>
      </c>
      <c r="X16" s="62">
        <f>W9*'Baseline Inputs'!$C$259/100/2</f>
        <v>0</v>
      </c>
      <c r="Y16" s="62">
        <f>W16-X16</f>
        <v>0</v>
      </c>
      <c r="Z16" s="62">
        <f>Z9</f>
        <v>0</v>
      </c>
      <c r="AA16" s="62">
        <f>Z9*'Baseline Inputs'!$C$260/100/2</f>
        <v>0</v>
      </c>
      <c r="AB16" s="62">
        <f>Z16-AA16</f>
        <v>0</v>
      </c>
      <c r="AC16" s="62">
        <f>AC9</f>
        <v>0</v>
      </c>
      <c r="AD16" s="62">
        <f>AC9*'Baseline Inputs'!$C$261/100/2</f>
        <v>0</v>
      </c>
      <c r="AE16" s="62">
        <f>AC16-AD16</f>
        <v>0</v>
      </c>
      <c r="AF16" s="62">
        <f>AF9</f>
        <v>0</v>
      </c>
      <c r="AG16" s="62">
        <f>AF9*'Baseline Inputs'!$C$264/100/2</f>
        <v>0</v>
      </c>
      <c r="AH16" s="62">
        <f>AF16-AG16</f>
        <v>0</v>
      </c>
      <c r="AI16" s="62">
        <f>AI9</f>
        <v>0</v>
      </c>
      <c r="AJ16" s="62">
        <f>AI9*'Baseline Inputs'!$C$265/100/2</f>
        <v>0</v>
      </c>
      <c r="AK16" s="62">
        <f>AI16-AJ16</f>
        <v>0</v>
      </c>
      <c r="AL16" s="62">
        <f>AL9</f>
        <v>0</v>
      </c>
      <c r="AM16" s="62">
        <f>AL9*'Baseline Inputs'!$C$266/100/2</f>
        <v>0</v>
      </c>
      <c r="AN16" s="62">
        <f>AL16-AM16</f>
        <v>0</v>
      </c>
      <c r="AO16" s="62">
        <f>AO9</f>
        <v>0</v>
      </c>
      <c r="AP16" s="62">
        <f>AO9*'Baseline Inputs'!$C$267/100/2</f>
        <v>0</v>
      </c>
      <c r="AQ16" s="62">
        <f>AO16-AP16</f>
        <v>0</v>
      </c>
      <c r="AR16" s="62">
        <f>AR9</f>
        <v>0</v>
      </c>
      <c r="AS16" s="62">
        <f>AR9*'Baseline Inputs'!$C$268/100/2</f>
        <v>0</v>
      </c>
      <c r="AT16" s="62">
        <f>AR16-AS16</f>
        <v>0</v>
      </c>
      <c r="AU16" s="62">
        <f>AU9</f>
        <v>0</v>
      </c>
      <c r="AV16" s="62">
        <f>AU9*'Baseline Inputs'!$C$269/100/2</f>
        <v>0</v>
      </c>
      <c r="AW16" s="62">
        <f>AU16-AV16</f>
        <v>0</v>
      </c>
      <c r="AX16" s="62">
        <f>AX9</f>
        <v>0</v>
      </c>
      <c r="AY16" s="62">
        <f>AX9*'Baseline Inputs'!$C$270/100/2</f>
        <v>0</v>
      </c>
      <c r="AZ16" s="62">
        <f>AX16-AY16</f>
        <v>0</v>
      </c>
      <c r="BA16" s="62">
        <f>BA9</f>
        <v>0</v>
      </c>
      <c r="BB16" s="62">
        <f>BA9*'Baseline Inputs'!$C$271/100/2</f>
        <v>0</v>
      </c>
      <c r="BC16" s="62">
        <f>BA16-BB16</f>
        <v>0</v>
      </c>
      <c r="BD16" s="62">
        <f>BD9</f>
        <v>0</v>
      </c>
      <c r="BE16" s="62">
        <f>BD9*'Baseline Inputs'!$C$272/100/2</f>
        <v>0</v>
      </c>
      <c r="BF16" s="62">
        <f>BD16-BE16</f>
        <v>0</v>
      </c>
      <c r="BG16" s="62">
        <f>BG9</f>
        <v>0</v>
      </c>
      <c r="BH16" s="62">
        <f>BG9*'Baseline Inputs'!$C$273/100/2</f>
        <v>0</v>
      </c>
      <c r="BI16" s="62">
        <f>BG16-BH16</f>
        <v>0</v>
      </c>
      <c r="BJ16" s="62">
        <f t="shared" ref="BJ16:BJ40" si="1">C16+F16+I16+L16+O16+R16+U16+X16+AA16+AD16+AG16+AJ16+AM16+AP16+AS16+AV16+AY16+BB16+BE16+BH16</f>
        <v>2053.2556</v>
      </c>
      <c r="BK16" s="62">
        <f t="shared" ref="BK16:BK40" si="2">D16+G16+J16+M16+P16+S16+V16+Y16+AB16+AE16+AH16+AK16+AN16+AQ16+AT16+AW16+AZ16+BC16+BF16+BI16</f>
        <v>49278.134400000003</v>
      </c>
      <c r="BL16" s="62">
        <f>'Municipal Tax'!C7</f>
        <v>0</v>
      </c>
      <c r="BM16" s="62">
        <f>BK16+BL16</f>
        <v>49278.134400000003</v>
      </c>
      <c r="BN16" s="66">
        <f>'Baseline Inputs'!$B$290/100</f>
        <v>0</v>
      </c>
      <c r="BO16" s="62">
        <f>BM16*BN16</f>
        <v>0</v>
      </c>
    </row>
    <row r="17" spans="1:67" x14ac:dyDescent="0.2">
      <c r="A17" s="4">
        <f>A16+1</f>
        <v>2023</v>
      </c>
      <c r="B17" s="62">
        <f>D16+B10</f>
        <v>0</v>
      </c>
      <c r="C17" s="62">
        <f>(B17-B10) *'Baseline Inputs'!$C$252/100 + B10 * 'Baseline Inputs'!$C$252/100/2</f>
        <v>0</v>
      </c>
      <c r="D17" s="62">
        <f t="shared" si="0"/>
        <v>0</v>
      </c>
      <c r="E17" s="62">
        <f>G16+E10</f>
        <v>0</v>
      </c>
      <c r="F17" s="62">
        <f>(E17-E10) *'Baseline Inputs'!$C$253/100 + E10 * 'Baseline Inputs'!$C$253/100/2</f>
        <v>0</v>
      </c>
      <c r="G17" s="62">
        <f>E17-F17</f>
        <v>0</v>
      </c>
      <c r="H17" s="62">
        <f>J16+H10</f>
        <v>0</v>
      </c>
      <c r="I17" s="62">
        <f>(H17-H10) *'Baseline Inputs'!$C$254/100 + H10 * 'Baseline Inputs'!$C$254/100/2</f>
        <v>0</v>
      </c>
      <c r="J17" s="62">
        <f>H17-I17</f>
        <v>0</v>
      </c>
      <c r="K17" s="62">
        <f>M16+K10</f>
        <v>0</v>
      </c>
      <c r="L17" s="62">
        <f>(K17-K10) *'Baseline Inputs'!$C$255/100 + K10 * 'Baseline Inputs'!$C$255/100/2</f>
        <v>0</v>
      </c>
      <c r="M17" s="62">
        <f>K17-L17</f>
        <v>0</v>
      </c>
      <c r="N17" s="62">
        <f>P16+N10</f>
        <v>11730.019200000001</v>
      </c>
      <c r="O17" s="62">
        <f>(N17-N10) *'Baseline Inputs'!$C$256/100 + N10 * 'Baseline Inputs'!$C$256/100/2</f>
        <v>938.40153600000008</v>
      </c>
      <c r="P17" s="62">
        <f>N17-O17</f>
        <v>10791.617664000001</v>
      </c>
      <c r="Q17" s="62">
        <f>S16+Q10</f>
        <v>9099.6575999999986</v>
      </c>
      <c r="R17" s="62">
        <f>(Q17-Q10) *'Baseline Inputs'!$C$257/100 + Q10 * 'Baseline Inputs'!$C$257/100/2</f>
        <v>727.97260799999992</v>
      </c>
      <c r="S17" s="62">
        <f>Q17-R17</f>
        <v>8371.6849919999986</v>
      </c>
      <c r="T17" s="62">
        <f>V16+T10</f>
        <v>28448.457600000002</v>
      </c>
      <c r="U17" s="62">
        <f>(T17-T10) *'Baseline Inputs'!$C$258/100 + T10 * 'Baseline Inputs'!$C$258/100/2</f>
        <v>2275.876608</v>
      </c>
      <c r="V17" s="62">
        <f>T17-U17</f>
        <v>26172.580992000003</v>
      </c>
      <c r="W17" s="62">
        <f>Y16+W10</f>
        <v>0</v>
      </c>
      <c r="X17" s="62">
        <f>(W17-W10) *'Baseline Inputs'!$C$259/100 + W10 * 'Baseline Inputs'!$C$259/100/2</f>
        <v>0</v>
      </c>
      <c r="Y17" s="62">
        <f>W17-X17</f>
        <v>0</v>
      </c>
      <c r="Z17" s="62">
        <f>AB16+Z10</f>
        <v>0</v>
      </c>
      <c r="AA17" s="62">
        <f>(Z17-Z10) *'Baseline Inputs'!$C$260/100 + Z10 * 'Baseline Inputs'!$C$260/100/2</f>
        <v>0</v>
      </c>
      <c r="AB17" s="62">
        <f>Z17-AA17</f>
        <v>0</v>
      </c>
      <c r="AC17" s="62">
        <f>AE16+AC10</f>
        <v>0</v>
      </c>
      <c r="AD17" s="62">
        <f>(AC17-AC10) *'Baseline Inputs'!$C$261/100 + AC10 * 'Baseline Inputs'!$C$261/100/2</f>
        <v>0</v>
      </c>
      <c r="AE17" s="62">
        <f>AC17-AD17</f>
        <v>0</v>
      </c>
      <c r="AF17" s="62">
        <f>AH16+AF10</f>
        <v>0</v>
      </c>
      <c r="AG17" s="62">
        <f>(AF17-AF10) *'Baseline Inputs'!$C$264/100 + AF10 * 'Baseline Inputs'!$C$264/100/2</f>
        <v>0</v>
      </c>
      <c r="AH17" s="62">
        <f>AF17-AG17</f>
        <v>0</v>
      </c>
      <c r="AI17" s="62">
        <f>AK16+AI10</f>
        <v>0</v>
      </c>
      <c r="AJ17" s="62">
        <f>(AI17-AI10) *'Baseline Inputs'!$C$265/100 + AI10 * 'Baseline Inputs'!$C$265/100/2</f>
        <v>0</v>
      </c>
      <c r="AK17" s="62">
        <f>AI17-AJ17</f>
        <v>0</v>
      </c>
      <c r="AL17" s="62">
        <f>AN16+AL10</f>
        <v>0</v>
      </c>
      <c r="AM17" s="62">
        <f>(AL17-AL10) *'Baseline Inputs'!$C$266/100 + AL10 * 'Baseline Inputs'!$C$266/100/2</f>
        <v>0</v>
      </c>
      <c r="AN17" s="62">
        <f>AL17-AM17</f>
        <v>0</v>
      </c>
      <c r="AO17" s="62">
        <f>AQ16+AO10</f>
        <v>0</v>
      </c>
      <c r="AP17" s="62">
        <f>(AO17-AO10) *'Baseline Inputs'!$C$267/100 + AO10 * 'Baseline Inputs'!$C$267/100/2</f>
        <v>0</v>
      </c>
      <c r="AQ17" s="62">
        <f>AO17-AP17</f>
        <v>0</v>
      </c>
      <c r="AR17" s="62">
        <f>AT16+AR10</f>
        <v>0</v>
      </c>
      <c r="AS17" s="62">
        <f>(AR17-AR10) *'Baseline Inputs'!$C$268/100 + AR10 * 'Baseline Inputs'!$C$268/100/2</f>
        <v>0</v>
      </c>
      <c r="AT17" s="62">
        <f>AR17-AS17</f>
        <v>0</v>
      </c>
      <c r="AU17" s="62">
        <f>AW16+AU10</f>
        <v>0</v>
      </c>
      <c r="AV17" s="62">
        <f>(AU17-AU10) *'Baseline Inputs'!$C$269/100 + AU10 * 'Baseline Inputs'!$C$269/100/2</f>
        <v>0</v>
      </c>
      <c r="AW17" s="62">
        <f>AU17-AV17</f>
        <v>0</v>
      </c>
      <c r="AX17" s="62">
        <f>AZ16+AX10</f>
        <v>0</v>
      </c>
      <c r="AY17" s="62">
        <f>(AX17-AX10) *'Baseline Inputs'!$C$270/100 + AX10 * 'Baseline Inputs'!$C$270/100/2</f>
        <v>0</v>
      </c>
      <c r="AZ17" s="62">
        <f>AX17-AY17</f>
        <v>0</v>
      </c>
      <c r="BA17" s="62">
        <f>BC16+BA10</f>
        <v>0</v>
      </c>
      <c r="BB17" s="62">
        <f>(BA17-BA10) *'Baseline Inputs'!$C$271/100 + BA10 * 'Baseline Inputs'!$C$271/100/2</f>
        <v>0</v>
      </c>
      <c r="BC17" s="62">
        <f>BA17-BB17</f>
        <v>0</v>
      </c>
      <c r="BD17" s="62">
        <f>BF16+BD10</f>
        <v>0</v>
      </c>
      <c r="BE17" s="62">
        <f>(BD17-BD10) *'Baseline Inputs'!$C$272/100 + BD10 * 'Baseline Inputs'!$C$272/100/2</f>
        <v>0</v>
      </c>
      <c r="BF17" s="62">
        <f>BD17-BE17</f>
        <v>0</v>
      </c>
      <c r="BG17" s="62">
        <f>BI16+BG10</f>
        <v>0</v>
      </c>
      <c r="BH17" s="62">
        <f>(BG17-BG10) *'Baseline Inputs'!$C$273/100 + BG10 * 'Baseline Inputs'!$C$273/100/2</f>
        <v>0</v>
      </c>
      <c r="BI17" s="62">
        <f>BG17-BH17</f>
        <v>0</v>
      </c>
      <c r="BJ17" s="62">
        <f t="shared" si="1"/>
        <v>3942.2507519999999</v>
      </c>
      <c r="BK17" s="62">
        <f t="shared" si="2"/>
        <v>45335.883648000003</v>
      </c>
      <c r="BL17" s="62">
        <f>'Municipal Tax'!C8</f>
        <v>0</v>
      </c>
      <c r="BM17" s="62">
        <f t="shared" ref="BM17:BM40" si="3">BK17+BL17</f>
        <v>45335.883648000003</v>
      </c>
      <c r="BN17" s="74">
        <f>IF(ISBLANK('Baseline Inputs'!$C$290), BN16,'Baseline Inputs'!$C$290/100)</f>
        <v>0</v>
      </c>
      <c r="BO17" s="62">
        <f t="shared" ref="BO17:BO40" si="4">BM17*BN17</f>
        <v>0</v>
      </c>
    </row>
    <row r="18" spans="1:67" x14ac:dyDescent="0.2">
      <c r="A18" s="4">
        <f t="shared" ref="A18:A40" si="5">A17+1</f>
        <v>2024</v>
      </c>
      <c r="B18" s="62">
        <f>D17+B11</f>
        <v>0</v>
      </c>
      <c r="C18" s="62">
        <f>(B18-B11) *'Baseline Inputs'!$C$252/100 + B11 * 'Baseline Inputs'!$C$252/100/2</f>
        <v>0</v>
      </c>
      <c r="D18" s="62">
        <f t="shared" si="0"/>
        <v>0</v>
      </c>
      <c r="E18" s="62">
        <f>G17+E11</f>
        <v>0</v>
      </c>
      <c r="F18" s="62">
        <f>(E18-E11) *'Baseline Inputs'!$C$253/100 + E11 * 'Baseline Inputs'!$C$253/100/2</f>
        <v>0</v>
      </c>
      <c r="G18" s="62">
        <f t="shared" ref="G18:G40" si="6">E18-F18</f>
        <v>0</v>
      </c>
      <c r="H18" s="62">
        <f>J17+H11</f>
        <v>0</v>
      </c>
      <c r="I18" s="62">
        <f>(H18-H11) *'Baseline Inputs'!$C$254/100 + H11 * 'Baseline Inputs'!$C$254/100/2</f>
        <v>0</v>
      </c>
      <c r="J18" s="62">
        <f t="shared" ref="J18:J40" si="7">H18-I18</f>
        <v>0</v>
      </c>
      <c r="K18" s="62">
        <f>M17+K11</f>
        <v>0</v>
      </c>
      <c r="L18" s="62">
        <f>(K18-K11) *'Baseline Inputs'!$C$255/100 + K11 * 'Baseline Inputs'!$C$255/100/2</f>
        <v>0</v>
      </c>
      <c r="M18" s="62">
        <f t="shared" ref="M18:M40" si="8">K18-L18</f>
        <v>0</v>
      </c>
      <c r="N18" s="62">
        <f>P17+N11</f>
        <v>10791.617664000001</v>
      </c>
      <c r="O18" s="62">
        <f>(N18-N11) *'Baseline Inputs'!$C$256/100 + N11 * 'Baseline Inputs'!$C$256/100/2</f>
        <v>863.32941312000014</v>
      </c>
      <c r="P18" s="62">
        <f t="shared" ref="P18:P40" si="9">N18-O18</f>
        <v>9928.2882508800012</v>
      </c>
      <c r="Q18" s="62">
        <f>S17+Q11</f>
        <v>8371.6849919999986</v>
      </c>
      <c r="R18" s="62">
        <f>(Q18-Q11) *'Baseline Inputs'!$C$257/100 + Q11 * 'Baseline Inputs'!$C$257/100/2</f>
        <v>669.7347993599999</v>
      </c>
      <c r="S18" s="62">
        <f t="shared" ref="S18:S40" si="10">Q18-R18</f>
        <v>7701.9501926399989</v>
      </c>
      <c r="T18" s="62">
        <f>V17+T11</f>
        <v>26172.580992000003</v>
      </c>
      <c r="U18" s="62">
        <f>(T18-T11) *'Baseline Inputs'!$C$258/100 + T11 * 'Baseline Inputs'!$C$258/100/2</f>
        <v>2093.8064793600001</v>
      </c>
      <c r="V18" s="62">
        <f t="shared" ref="V18:V40" si="11">T18-U18</f>
        <v>24078.774512640004</v>
      </c>
      <c r="W18" s="62">
        <f>Y17+W11</f>
        <v>0</v>
      </c>
      <c r="X18" s="62">
        <f>(W18-W11) *'Baseline Inputs'!$C$259/100 + W11 * 'Baseline Inputs'!$C$259/100/2</f>
        <v>0</v>
      </c>
      <c r="Y18" s="62">
        <f t="shared" ref="Y18:Y40" si="12">W18-X18</f>
        <v>0</v>
      </c>
      <c r="Z18" s="62">
        <f>AB17+Z11</f>
        <v>0</v>
      </c>
      <c r="AA18" s="62">
        <f>(Z18-Z11) *'Baseline Inputs'!$C$260/100 + Z11 * 'Baseline Inputs'!$C$260/100/2</f>
        <v>0</v>
      </c>
      <c r="AB18" s="62">
        <f t="shared" ref="AB18:AB40" si="13">Z18-AA18</f>
        <v>0</v>
      </c>
      <c r="AC18" s="62">
        <f>AE17+AC11</f>
        <v>0</v>
      </c>
      <c r="AD18" s="62">
        <f>(AC18-AC11) *'Baseline Inputs'!$C$261/100 + AC11 * 'Baseline Inputs'!$C$261/100/2</f>
        <v>0</v>
      </c>
      <c r="AE18" s="62">
        <f t="shared" ref="AE18:AE40" si="14">AC18-AD18</f>
        <v>0</v>
      </c>
      <c r="AF18" s="62">
        <f>AH17+AF11</f>
        <v>0</v>
      </c>
      <c r="AG18" s="62">
        <f>(AF18-AF11) *'Baseline Inputs'!$C$264/100 + AF11 * 'Baseline Inputs'!$C$264/100/2</f>
        <v>0</v>
      </c>
      <c r="AH18" s="62">
        <f t="shared" ref="AH18:AH40" si="15">AF18-AG18</f>
        <v>0</v>
      </c>
      <c r="AI18" s="62">
        <f>AK17+AI11</f>
        <v>0</v>
      </c>
      <c r="AJ18" s="62">
        <f>(AI18-AI11) *'Baseline Inputs'!$C$265/100 + AI11 * 'Baseline Inputs'!$C$265/100/2</f>
        <v>0</v>
      </c>
      <c r="AK18" s="62">
        <f t="shared" ref="AK18:AK40" si="16">AI18-AJ18</f>
        <v>0</v>
      </c>
      <c r="AL18" s="62">
        <f>AN17+AL11</f>
        <v>0</v>
      </c>
      <c r="AM18" s="62">
        <f>(AL18-AL11) *'Baseline Inputs'!$C$266/100 + AL11 * 'Baseline Inputs'!$C$266/100/2</f>
        <v>0</v>
      </c>
      <c r="AN18" s="62">
        <f t="shared" ref="AN18:AN40" si="17">AL18-AM18</f>
        <v>0</v>
      </c>
      <c r="AO18" s="62">
        <f>AQ17+AO11</f>
        <v>0</v>
      </c>
      <c r="AP18" s="62">
        <f>(AO18-AO11) *'Baseline Inputs'!$C$267/100 + AO11 * 'Baseline Inputs'!$C$267/100/2</f>
        <v>0</v>
      </c>
      <c r="AQ18" s="62">
        <f t="shared" ref="AQ18:AQ40" si="18">AO18-AP18</f>
        <v>0</v>
      </c>
      <c r="AR18" s="62">
        <f>AT17+AR11</f>
        <v>0</v>
      </c>
      <c r="AS18" s="62">
        <f>(AR18-AR11) *'Baseline Inputs'!$C$268/100 + AR11 * 'Baseline Inputs'!$C$268/100/2</f>
        <v>0</v>
      </c>
      <c r="AT18" s="62">
        <f t="shared" ref="AT18:AT40" si="19">AR18-AS18</f>
        <v>0</v>
      </c>
      <c r="AU18" s="62">
        <f>AW17+AU11</f>
        <v>0</v>
      </c>
      <c r="AV18" s="62">
        <f>(AU18-AU11) *'Baseline Inputs'!$C$269/100 + AU11 * 'Baseline Inputs'!$C$269/100/2</f>
        <v>0</v>
      </c>
      <c r="AW18" s="62">
        <f t="shared" ref="AW18:AW40" si="20">AU18-AV18</f>
        <v>0</v>
      </c>
      <c r="AX18" s="62">
        <f>AZ17+AX11</f>
        <v>0</v>
      </c>
      <c r="AY18" s="62">
        <f>(AX18-AX11) *'Baseline Inputs'!$C$270/100 + AX11 * 'Baseline Inputs'!$C$270/100/2</f>
        <v>0</v>
      </c>
      <c r="AZ18" s="62">
        <f t="shared" ref="AZ18:AZ40" si="21">AX18-AY18</f>
        <v>0</v>
      </c>
      <c r="BA18" s="62">
        <f>BC17+BA11</f>
        <v>0</v>
      </c>
      <c r="BB18" s="62">
        <f>(BA18-BA11) *'Baseline Inputs'!$C$271/100 + BA11 * 'Baseline Inputs'!$C$271/100/2</f>
        <v>0</v>
      </c>
      <c r="BC18" s="62">
        <f t="shared" ref="BC18:BC40" si="22">BA18-BB18</f>
        <v>0</v>
      </c>
      <c r="BD18" s="62">
        <f>BF17+BD11</f>
        <v>0</v>
      </c>
      <c r="BE18" s="62">
        <f>(BD18-BD11) *'Baseline Inputs'!$C$272/100 + BD11 * 'Baseline Inputs'!$C$272/100/2</f>
        <v>0</v>
      </c>
      <c r="BF18" s="62">
        <f t="shared" ref="BF18:BF40" si="23">BD18-BE18</f>
        <v>0</v>
      </c>
      <c r="BG18" s="62">
        <f>BI17+BG11</f>
        <v>0</v>
      </c>
      <c r="BH18" s="62">
        <f>(BG18-BG11) *'Baseline Inputs'!$C$273/100 + BG11 * 'Baseline Inputs'!$C$273/100/2</f>
        <v>0</v>
      </c>
      <c r="BI18" s="62">
        <f t="shared" ref="BI18:BI40" si="24">BG18-BH18</f>
        <v>0</v>
      </c>
      <c r="BJ18" s="62">
        <f t="shared" si="1"/>
        <v>3626.8706918400003</v>
      </c>
      <c r="BK18" s="62">
        <f t="shared" si="2"/>
        <v>41709.012956160004</v>
      </c>
      <c r="BL18" s="62">
        <f>'Municipal Tax'!C9</f>
        <v>0</v>
      </c>
      <c r="BM18" s="62">
        <f t="shared" si="3"/>
        <v>41709.012956160004</v>
      </c>
      <c r="BN18" s="74">
        <f>IF(ISBLANK('Baseline Inputs'!$D$290), BN17,'Baseline Inputs'!$D$290/100)</f>
        <v>0</v>
      </c>
      <c r="BO18" s="62">
        <f t="shared" si="4"/>
        <v>0</v>
      </c>
    </row>
    <row r="19" spans="1:67" x14ac:dyDescent="0.2">
      <c r="A19" s="4">
        <f t="shared" si="5"/>
        <v>2025</v>
      </c>
      <c r="B19" s="62">
        <f>D18+B12</f>
        <v>0</v>
      </c>
      <c r="C19" s="62">
        <f>(B19-B12) *'Baseline Inputs'!$C$252/100 + B12 * 'Baseline Inputs'!$C$252/100/2</f>
        <v>0</v>
      </c>
      <c r="D19" s="62">
        <f t="shared" si="0"/>
        <v>0</v>
      </c>
      <c r="E19" s="62">
        <f>G18+E12</f>
        <v>0</v>
      </c>
      <c r="F19" s="62">
        <f>(E19-E12) *'Baseline Inputs'!$C$253/100 + E12 * 'Baseline Inputs'!$C$253/100/2</f>
        <v>0</v>
      </c>
      <c r="G19" s="62">
        <f t="shared" si="6"/>
        <v>0</v>
      </c>
      <c r="H19" s="62">
        <f>J18+H12</f>
        <v>0</v>
      </c>
      <c r="I19" s="62">
        <f>(H19-H12) *'Baseline Inputs'!$C$254/100 + H12 * 'Baseline Inputs'!$C$254/100/2</f>
        <v>0</v>
      </c>
      <c r="J19" s="62">
        <f t="shared" si="7"/>
        <v>0</v>
      </c>
      <c r="K19" s="62">
        <f>M18+K12</f>
        <v>0</v>
      </c>
      <c r="L19" s="62">
        <f>(K19-K12) *'Baseline Inputs'!$C$255/100 + K12 * 'Baseline Inputs'!$C$255/100/2</f>
        <v>0</v>
      </c>
      <c r="M19" s="62">
        <f t="shared" si="8"/>
        <v>0</v>
      </c>
      <c r="N19" s="62">
        <f>P18+N12</f>
        <v>9928.2882508800012</v>
      </c>
      <c r="O19" s="62">
        <f>(N19-N12) *'Baseline Inputs'!$C$256/100 + N12 * 'Baseline Inputs'!$C$256/100/2</f>
        <v>794.26306007040012</v>
      </c>
      <c r="P19" s="62">
        <f t="shared" si="9"/>
        <v>9134.0251908096016</v>
      </c>
      <c r="Q19" s="62">
        <f>S18+Q12</f>
        <v>7701.9501926399989</v>
      </c>
      <c r="R19" s="62">
        <f>(Q19-Q12) *'Baseline Inputs'!$C$257/100 + Q12 * 'Baseline Inputs'!$C$257/100/2</f>
        <v>616.15601541119986</v>
      </c>
      <c r="S19" s="62">
        <f t="shared" si="10"/>
        <v>7085.7941772287995</v>
      </c>
      <c r="T19" s="62">
        <f>V18+T12</f>
        <v>24078.774512640004</v>
      </c>
      <c r="U19" s="62">
        <f>(T19-T12) *'Baseline Inputs'!$C$258/100 + T12 * 'Baseline Inputs'!$C$258/100/2</f>
        <v>1926.3019610112003</v>
      </c>
      <c r="V19" s="62">
        <f t="shared" si="11"/>
        <v>22152.472551628805</v>
      </c>
      <c r="W19" s="62">
        <f>Y18+W12</f>
        <v>0</v>
      </c>
      <c r="X19" s="62">
        <f>(W19-W12) *'Baseline Inputs'!$C$259/100 + W12 * 'Baseline Inputs'!$C$259/100/2</f>
        <v>0</v>
      </c>
      <c r="Y19" s="62">
        <f t="shared" si="12"/>
        <v>0</v>
      </c>
      <c r="Z19" s="62">
        <f>AB18+Z12</f>
        <v>0</v>
      </c>
      <c r="AA19" s="62">
        <f>(Z19-Z12) *'Baseline Inputs'!$C$260/100 + Z12 * 'Baseline Inputs'!$C$260/100/2</f>
        <v>0</v>
      </c>
      <c r="AB19" s="62">
        <f t="shared" si="13"/>
        <v>0</v>
      </c>
      <c r="AC19" s="62">
        <f>AE18+AC12</f>
        <v>0</v>
      </c>
      <c r="AD19" s="62">
        <f>(AC19-AC12) *'Baseline Inputs'!$C$261/100 + AC12 * 'Baseline Inputs'!$C$261/100/2</f>
        <v>0</v>
      </c>
      <c r="AE19" s="62">
        <f t="shared" si="14"/>
        <v>0</v>
      </c>
      <c r="AF19" s="62">
        <f>AH18+AF12</f>
        <v>0</v>
      </c>
      <c r="AG19" s="62">
        <f>(AF19-AF12) *'Baseline Inputs'!$C$264/100 + AF12 * 'Baseline Inputs'!$C$264/100/2</f>
        <v>0</v>
      </c>
      <c r="AH19" s="62">
        <f t="shared" si="15"/>
        <v>0</v>
      </c>
      <c r="AI19" s="62">
        <f>AK18+AI12</f>
        <v>0</v>
      </c>
      <c r="AJ19" s="62">
        <f>(AI19-AI12) *'Baseline Inputs'!$C$265/100 + AI12 * 'Baseline Inputs'!$C$265/100/2</f>
        <v>0</v>
      </c>
      <c r="AK19" s="62">
        <f t="shared" si="16"/>
        <v>0</v>
      </c>
      <c r="AL19" s="62">
        <f>AN18+AL12</f>
        <v>0</v>
      </c>
      <c r="AM19" s="62">
        <f>(AL19-AL12) *'Baseline Inputs'!$C$266/100 + AL12 * 'Baseline Inputs'!$C$266/100/2</f>
        <v>0</v>
      </c>
      <c r="AN19" s="62">
        <f t="shared" si="17"/>
        <v>0</v>
      </c>
      <c r="AO19" s="62">
        <f>AQ18+AO12</f>
        <v>0</v>
      </c>
      <c r="AP19" s="62">
        <f>(AO19-AO12) *'Baseline Inputs'!$C$267/100 + AO12 * 'Baseline Inputs'!$C$267/100/2</f>
        <v>0</v>
      </c>
      <c r="AQ19" s="62">
        <f t="shared" si="18"/>
        <v>0</v>
      </c>
      <c r="AR19" s="62">
        <f>AT18+AR12</f>
        <v>0</v>
      </c>
      <c r="AS19" s="62">
        <f>(AR19-AR12) *'Baseline Inputs'!$C$268/100 + AR12 * 'Baseline Inputs'!$C$268/100/2</f>
        <v>0</v>
      </c>
      <c r="AT19" s="62">
        <f t="shared" si="19"/>
        <v>0</v>
      </c>
      <c r="AU19" s="62">
        <f>AW18+AU12</f>
        <v>0</v>
      </c>
      <c r="AV19" s="62">
        <f>(AU19-AU12) *'Baseline Inputs'!$C$269/100 + AU12 * 'Baseline Inputs'!$C$269/100/2</f>
        <v>0</v>
      </c>
      <c r="AW19" s="62">
        <f t="shared" si="20"/>
        <v>0</v>
      </c>
      <c r="AX19" s="62">
        <f>AZ18+AX12</f>
        <v>0</v>
      </c>
      <c r="AY19" s="62">
        <f>(AX19-AX12) *'Baseline Inputs'!$C$270/100 + AX12 * 'Baseline Inputs'!$C$270/100/2</f>
        <v>0</v>
      </c>
      <c r="AZ19" s="62">
        <f t="shared" si="21"/>
        <v>0</v>
      </c>
      <c r="BA19" s="62">
        <f>BC18+BA12</f>
        <v>0</v>
      </c>
      <c r="BB19" s="62">
        <f>(BA19-BA12) *'Baseline Inputs'!$C$271/100 + BA12 * 'Baseline Inputs'!$C$271/100/2</f>
        <v>0</v>
      </c>
      <c r="BC19" s="62">
        <f t="shared" si="22"/>
        <v>0</v>
      </c>
      <c r="BD19" s="62">
        <f>BF18+BD12</f>
        <v>0</v>
      </c>
      <c r="BE19" s="62">
        <f>(BD19-BD12) *'Baseline Inputs'!$C$272/100 + BD12 * 'Baseline Inputs'!$C$272/100/2</f>
        <v>0</v>
      </c>
      <c r="BF19" s="62">
        <f t="shared" si="23"/>
        <v>0</v>
      </c>
      <c r="BG19" s="62">
        <f>BI18+BG12</f>
        <v>0</v>
      </c>
      <c r="BH19" s="62">
        <f>(BG19-BG12) *'Baseline Inputs'!$C$273/100 + BG12 * 'Baseline Inputs'!$C$273/100/2</f>
        <v>0</v>
      </c>
      <c r="BI19" s="62">
        <f t="shared" si="24"/>
        <v>0</v>
      </c>
      <c r="BJ19" s="62">
        <f t="shared" si="1"/>
        <v>3336.7210364928005</v>
      </c>
      <c r="BK19" s="62">
        <f t="shared" si="2"/>
        <v>38372.291919667208</v>
      </c>
      <c r="BL19" s="62">
        <f>'Municipal Tax'!C10</f>
        <v>0</v>
      </c>
      <c r="BM19" s="62">
        <f t="shared" si="3"/>
        <v>38372.291919667208</v>
      </c>
      <c r="BN19" s="74">
        <f>IF(ISBLANK('Baseline Inputs'!$E$290), BN18,'Baseline Inputs'!$E$290/100)</f>
        <v>0</v>
      </c>
      <c r="BO19" s="62">
        <f t="shared" si="4"/>
        <v>0</v>
      </c>
    </row>
    <row r="20" spans="1:67" x14ac:dyDescent="0.2">
      <c r="A20" s="4">
        <f t="shared" si="5"/>
        <v>2026</v>
      </c>
      <c r="B20" s="62">
        <f>D19+B13</f>
        <v>0</v>
      </c>
      <c r="C20" s="62">
        <f>(B20-B13) *'Baseline Inputs'!$C$252/100 + B13 * 'Baseline Inputs'!$C$252/100/2</f>
        <v>0</v>
      </c>
      <c r="D20" s="62">
        <f t="shared" si="0"/>
        <v>0</v>
      </c>
      <c r="E20" s="62">
        <f>G19+E13</f>
        <v>0</v>
      </c>
      <c r="F20" s="62">
        <f>(E20-E13) *'Baseline Inputs'!$C$253/100 + E13 * 'Baseline Inputs'!$C$253/100/2</f>
        <v>0</v>
      </c>
      <c r="G20" s="62">
        <f t="shared" si="6"/>
        <v>0</v>
      </c>
      <c r="H20" s="62">
        <f>J19+H13</f>
        <v>0</v>
      </c>
      <c r="I20" s="62">
        <f>(H20-H13) *'Baseline Inputs'!$C$254/100 + H13 * 'Baseline Inputs'!$C$254/100/2</f>
        <v>0</v>
      </c>
      <c r="J20" s="62">
        <f t="shared" si="7"/>
        <v>0</v>
      </c>
      <c r="K20" s="62">
        <f>M19+K13</f>
        <v>0</v>
      </c>
      <c r="L20" s="62">
        <f>(K20-K13) *'Baseline Inputs'!$C$255/100 + K13 * 'Baseline Inputs'!$C$255/100/2</f>
        <v>0</v>
      </c>
      <c r="M20" s="62">
        <f t="shared" si="8"/>
        <v>0</v>
      </c>
      <c r="N20" s="62">
        <f>P19+N13</f>
        <v>9134.0251908096016</v>
      </c>
      <c r="O20" s="62">
        <f>(N20-N13) *'Baseline Inputs'!$C$256/100 + N13 * 'Baseline Inputs'!$C$256/100/2</f>
        <v>730.72201526476817</v>
      </c>
      <c r="P20" s="62">
        <f t="shared" si="9"/>
        <v>8403.3031755448337</v>
      </c>
      <c r="Q20" s="62">
        <f>S19+Q13</f>
        <v>7085.7941772287995</v>
      </c>
      <c r="R20" s="62">
        <f>(Q20-Q13) *'Baseline Inputs'!$C$257/100 + Q13 * 'Baseline Inputs'!$C$257/100/2</f>
        <v>566.86353417830401</v>
      </c>
      <c r="S20" s="62">
        <f t="shared" si="10"/>
        <v>6518.9306430504957</v>
      </c>
      <c r="T20" s="62">
        <f>V19+T13</f>
        <v>22152.472551628805</v>
      </c>
      <c r="U20" s="62">
        <f>(T20-T13) *'Baseline Inputs'!$C$258/100 + T13 * 'Baseline Inputs'!$C$258/100/2</f>
        <v>1772.1978041303043</v>
      </c>
      <c r="V20" s="62">
        <f t="shared" si="11"/>
        <v>20380.274747498501</v>
      </c>
      <c r="W20" s="62">
        <f>Y19+W13</f>
        <v>0</v>
      </c>
      <c r="X20" s="62">
        <f>(W20-W13) *'Baseline Inputs'!$C$259/100 + W13 * 'Baseline Inputs'!$C$259/100/2</f>
        <v>0</v>
      </c>
      <c r="Y20" s="62">
        <f t="shared" si="12"/>
        <v>0</v>
      </c>
      <c r="Z20" s="62">
        <f>AB19+Z13</f>
        <v>0</v>
      </c>
      <c r="AA20" s="62">
        <f>(Z20-Z13) *'Baseline Inputs'!$C$260/100 + Z13 * 'Baseline Inputs'!$C$260/100/2</f>
        <v>0</v>
      </c>
      <c r="AB20" s="62">
        <f t="shared" si="13"/>
        <v>0</v>
      </c>
      <c r="AC20" s="62">
        <f>AE19+AC13</f>
        <v>0</v>
      </c>
      <c r="AD20" s="62">
        <f>(AC20-AC13) *'Baseline Inputs'!$C$261/100 + AC13 * 'Baseline Inputs'!$C$261/100/2</f>
        <v>0</v>
      </c>
      <c r="AE20" s="62">
        <f t="shared" si="14"/>
        <v>0</v>
      </c>
      <c r="AF20" s="62">
        <f>AH19+AF13</f>
        <v>0</v>
      </c>
      <c r="AG20" s="62">
        <f>(AF20-AF13) *'Baseline Inputs'!$C$264/100 + AF13 * 'Baseline Inputs'!$C$264/100/2</f>
        <v>0</v>
      </c>
      <c r="AH20" s="62">
        <f t="shared" si="15"/>
        <v>0</v>
      </c>
      <c r="AI20" s="62">
        <f>AK19+AI13</f>
        <v>0</v>
      </c>
      <c r="AJ20" s="62">
        <f>(AI20-AI13) *'Baseline Inputs'!$C$265/100 + AI13 * 'Baseline Inputs'!$C$265/100/2</f>
        <v>0</v>
      </c>
      <c r="AK20" s="62">
        <f t="shared" si="16"/>
        <v>0</v>
      </c>
      <c r="AL20" s="62">
        <f>AN19+AL13</f>
        <v>0</v>
      </c>
      <c r="AM20" s="62">
        <f>(AL20-AL13) *'Baseline Inputs'!$C$266/100 + AL13 * 'Baseline Inputs'!$C$266/100/2</f>
        <v>0</v>
      </c>
      <c r="AN20" s="62">
        <f t="shared" si="17"/>
        <v>0</v>
      </c>
      <c r="AO20" s="62">
        <f>AQ19+AO13</f>
        <v>0</v>
      </c>
      <c r="AP20" s="62">
        <f>(AO20-AO13) *'Baseline Inputs'!$C$267/100 + AO13 * 'Baseline Inputs'!$C$267/100/2</f>
        <v>0</v>
      </c>
      <c r="AQ20" s="62">
        <f t="shared" si="18"/>
        <v>0</v>
      </c>
      <c r="AR20" s="62">
        <f>AT19+AR13</f>
        <v>0</v>
      </c>
      <c r="AS20" s="62">
        <f>(AR20-AR13) *'Baseline Inputs'!$C$268/100 + AR13 * 'Baseline Inputs'!$C$268/100/2</f>
        <v>0</v>
      </c>
      <c r="AT20" s="62">
        <f t="shared" si="19"/>
        <v>0</v>
      </c>
      <c r="AU20" s="62">
        <f>AW19+AU13</f>
        <v>0</v>
      </c>
      <c r="AV20" s="62">
        <f>(AU20-AU13) *'Baseline Inputs'!$C$269/100 + AU13 * 'Baseline Inputs'!$C$269/100/2</f>
        <v>0</v>
      </c>
      <c r="AW20" s="62">
        <f t="shared" si="20"/>
        <v>0</v>
      </c>
      <c r="AX20" s="62">
        <f>AZ19+AX13</f>
        <v>0</v>
      </c>
      <c r="AY20" s="62">
        <f>(AX20-AX13) *'Baseline Inputs'!$C$270/100 + AX13 * 'Baseline Inputs'!$C$270/100/2</f>
        <v>0</v>
      </c>
      <c r="AZ20" s="62">
        <f t="shared" si="21"/>
        <v>0</v>
      </c>
      <c r="BA20" s="62">
        <f>BC19+BA13</f>
        <v>0</v>
      </c>
      <c r="BB20" s="62">
        <f>(BA20-BA13) *'Baseline Inputs'!$C$271/100 + BA13 * 'Baseline Inputs'!$C$271/100/2</f>
        <v>0</v>
      </c>
      <c r="BC20" s="62">
        <f t="shared" si="22"/>
        <v>0</v>
      </c>
      <c r="BD20" s="62">
        <f>BF19+BD13</f>
        <v>0</v>
      </c>
      <c r="BE20" s="62">
        <f>(BD20-BD13) *'Baseline Inputs'!$C$272/100 + BD13 * 'Baseline Inputs'!$C$272/100/2</f>
        <v>0</v>
      </c>
      <c r="BF20" s="62">
        <f t="shared" si="23"/>
        <v>0</v>
      </c>
      <c r="BG20" s="62">
        <f>BI19+BG13</f>
        <v>0</v>
      </c>
      <c r="BH20" s="62">
        <f>(BG20-BG13) *'Baseline Inputs'!$C$273/100 + BG13 * 'Baseline Inputs'!$C$273/100/2</f>
        <v>0</v>
      </c>
      <c r="BI20" s="62">
        <f t="shared" si="24"/>
        <v>0</v>
      </c>
      <c r="BJ20" s="62">
        <f t="shared" si="1"/>
        <v>3069.7833535733762</v>
      </c>
      <c r="BK20" s="62">
        <f t="shared" si="2"/>
        <v>35302.508566093835</v>
      </c>
      <c r="BL20" s="62">
        <f>'Municipal Tax'!C11</f>
        <v>0</v>
      </c>
      <c r="BM20" s="62">
        <f t="shared" si="3"/>
        <v>35302.508566093835</v>
      </c>
      <c r="BN20" s="74">
        <f>IF(ISBLANK('Baseline Inputs'!$F$290), BN19,'Baseline Inputs'!$F$290/100)</f>
        <v>0</v>
      </c>
      <c r="BO20" s="62">
        <f t="shared" si="4"/>
        <v>0</v>
      </c>
    </row>
    <row r="21" spans="1:67" x14ac:dyDescent="0.2">
      <c r="A21" s="4">
        <f t="shared" si="5"/>
        <v>2027</v>
      </c>
      <c r="B21" s="62">
        <f>D20</f>
        <v>0</v>
      </c>
      <c r="C21" s="62">
        <f>B21*'Baseline Inputs'!$C$252/100</f>
        <v>0</v>
      </c>
      <c r="D21" s="62">
        <f t="shared" si="0"/>
        <v>0</v>
      </c>
      <c r="E21" s="62">
        <f>G20</f>
        <v>0</v>
      </c>
      <c r="F21" s="62">
        <f>E21*'Baseline Inputs'!$C$253/100</f>
        <v>0</v>
      </c>
      <c r="G21" s="62">
        <f t="shared" si="6"/>
        <v>0</v>
      </c>
      <c r="H21" s="62">
        <f>J20</f>
        <v>0</v>
      </c>
      <c r="I21" s="62">
        <f>H21*'Baseline Inputs'!$C$254/100</f>
        <v>0</v>
      </c>
      <c r="J21" s="62">
        <f t="shared" si="7"/>
        <v>0</v>
      </c>
      <c r="K21" s="62">
        <f>M20</f>
        <v>0</v>
      </c>
      <c r="L21" s="62">
        <f>K21*'Baseline Inputs'!$C$255/100</f>
        <v>0</v>
      </c>
      <c r="M21" s="62">
        <f t="shared" si="8"/>
        <v>0</v>
      </c>
      <c r="N21" s="62">
        <f>P20</f>
        <v>8403.3031755448337</v>
      </c>
      <c r="O21" s="62">
        <f>N21*'Baseline Inputs'!$C$256/100</f>
        <v>672.26425404358667</v>
      </c>
      <c r="P21" s="62">
        <f t="shared" si="9"/>
        <v>7731.0389215012474</v>
      </c>
      <c r="Q21" s="62">
        <f>S20</f>
        <v>6518.9306430504957</v>
      </c>
      <c r="R21" s="62">
        <f>Q21*'Baseline Inputs'!$C$257/100</f>
        <v>521.51445144403965</v>
      </c>
      <c r="S21" s="62">
        <f t="shared" si="10"/>
        <v>5997.4161916064559</v>
      </c>
      <c r="T21" s="62">
        <f>V20</f>
        <v>20380.274747498501</v>
      </c>
      <c r="U21" s="62">
        <f>T21*'Baseline Inputs'!$C$258/100</f>
        <v>1630.4219797998801</v>
      </c>
      <c r="V21" s="62">
        <f t="shared" si="11"/>
        <v>18749.85276769862</v>
      </c>
      <c r="W21" s="62">
        <f>Y20</f>
        <v>0</v>
      </c>
      <c r="X21" s="62">
        <f>W21*'Baseline Inputs'!$C$259/100</f>
        <v>0</v>
      </c>
      <c r="Y21" s="62">
        <f t="shared" si="12"/>
        <v>0</v>
      </c>
      <c r="Z21" s="62">
        <f>AB20</f>
        <v>0</v>
      </c>
      <c r="AA21" s="62">
        <f>Z21*'Baseline Inputs'!$C$260/100</f>
        <v>0</v>
      </c>
      <c r="AB21" s="62">
        <f t="shared" si="13"/>
        <v>0</v>
      </c>
      <c r="AC21" s="62">
        <f>AE20</f>
        <v>0</v>
      </c>
      <c r="AD21" s="62">
        <f>AC21*'Baseline Inputs'!$C$261/100</f>
        <v>0</v>
      </c>
      <c r="AE21" s="62">
        <f t="shared" si="14"/>
        <v>0</v>
      </c>
      <c r="AF21" s="62">
        <f>AH20</f>
        <v>0</v>
      </c>
      <c r="AG21" s="62">
        <f>AF21*'Baseline Inputs'!$C$264/100</f>
        <v>0</v>
      </c>
      <c r="AH21" s="62">
        <f t="shared" si="15"/>
        <v>0</v>
      </c>
      <c r="AI21" s="62">
        <f>AK20</f>
        <v>0</v>
      </c>
      <c r="AJ21" s="62">
        <f>AI21*'Baseline Inputs'!$C$265/100</f>
        <v>0</v>
      </c>
      <c r="AK21" s="62">
        <f t="shared" si="16"/>
        <v>0</v>
      </c>
      <c r="AL21" s="62">
        <f>AN20</f>
        <v>0</v>
      </c>
      <c r="AM21" s="62">
        <f>AL21*'Baseline Inputs'!$C$266/100</f>
        <v>0</v>
      </c>
      <c r="AN21" s="62">
        <f t="shared" si="17"/>
        <v>0</v>
      </c>
      <c r="AO21" s="62">
        <f>AQ20</f>
        <v>0</v>
      </c>
      <c r="AP21" s="62">
        <f>AO21*'Baseline Inputs'!$C$267/100</f>
        <v>0</v>
      </c>
      <c r="AQ21" s="62">
        <f t="shared" si="18"/>
        <v>0</v>
      </c>
      <c r="AR21" s="62">
        <f>AT20</f>
        <v>0</v>
      </c>
      <c r="AS21" s="62">
        <f>AR21*'Baseline Inputs'!$C$268/100</f>
        <v>0</v>
      </c>
      <c r="AT21" s="62">
        <f t="shared" si="19"/>
        <v>0</v>
      </c>
      <c r="AU21" s="62">
        <f>AW20</f>
        <v>0</v>
      </c>
      <c r="AV21" s="62">
        <f>AU21*'Baseline Inputs'!$C$269/100</f>
        <v>0</v>
      </c>
      <c r="AW21" s="62">
        <f t="shared" si="20"/>
        <v>0</v>
      </c>
      <c r="AX21" s="62">
        <f>AZ20</f>
        <v>0</v>
      </c>
      <c r="AY21" s="62">
        <f>AX21*'Baseline Inputs'!$C$270/100</f>
        <v>0</v>
      </c>
      <c r="AZ21" s="62">
        <f t="shared" si="21"/>
        <v>0</v>
      </c>
      <c r="BA21" s="62">
        <f>BC20</f>
        <v>0</v>
      </c>
      <c r="BB21" s="62">
        <f>BA21*'Baseline Inputs'!$C$271/100</f>
        <v>0</v>
      </c>
      <c r="BC21" s="62">
        <f t="shared" si="22"/>
        <v>0</v>
      </c>
      <c r="BD21" s="62">
        <f>BF20</f>
        <v>0</v>
      </c>
      <c r="BE21" s="62">
        <f>BD21*'Baseline Inputs'!$C$272/100</f>
        <v>0</v>
      </c>
      <c r="BF21" s="62">
        <f t="shared" si="23"/>
        <v>0</v>
      </c>
      <c r="BG21" s="62">
        <f>BI20</f>
        <v>0</v>
      </c>
      <c r="BH21" s="62">
        <f>BG21*'Baseline Inputs'!$C$273/100</f>
        <v>0</v>
      </c>
      <c r="BI21" s="62">
        <f t="shared" si="24"/>
        <v>0</v>
      </c>
      <c r="BJ21" s="62">
        <f t="shared" si="1"/>
        <v>2824.2006852875065</v>
      </c>
      <c r="BK21" s="62">
        <f t="shared" si="2"/>
        <v>32478.307880806322</v>
      </c>
      <c r="BL21" s="62">
        <f>BL20</f>
        <v>0</v>
      </c>
      <c r="BM21" s="62">
        <f t="shared" si="3"/>
        <v>32478.307880806322</v>
      </c>
      <c r="BN21" s="66">
        <f>BN20</f>
        <v>0</v>
      </c>
      <c r="BO21" s="62">
        <f t="shared" si="4"/>
        <v>0</v>
      </c>
    </row>
    <row r="22" spans="1:67" x14ac:dyDescent="0.2">
      <c r="A22" s="4">
        <f t="shared" si="5"/>
        <v>2028</v>
      </c>
      <c r="B22" s="62">
        <f t="shared" ref="B22:B40" si="25">D21</f>
        <v>0</v>
      </c>
      <c r="C22" s="62">
        <f>B22*'Baseline Inputs'!$C$252/100</f>
        <v>0</v>
      </c>
      <c r="D22" s="62">
        <f t="shared" ref="D22:D40" si="26">B22-C22</f>
        <v>0</v>
      </c>
      <c r="E22" s="62">
        <f t="shared" ref="E22:E40" si="27">G21</f>
        <v>0</v>
      </c>
      <c r="F22" s="62">
        <f>E22*'Baseline Inputs'!$C$253/100</f>
        <v>0</v>
      </c>
      <c r="G22" s="62">
        <f t="shared" si="6"/>
        <v>0</v>
      </c>
      <c r="H22" s="62">
        <f t="shared" ref="H22:H40" si="28">J21</f>
        <v>0</v>
      </c>
      <c r="I22" s="62">
        <f>H22*'Baseline Inputs'!$C$254/100</f>
        <v>0</v>
      </c>
      <c r="J22" s="62">
        <f t="shared" si="7"/>
        <v>0</v>
      </c>
      <c r="K22" s="62">
        <f t="shared" ref="K22:K40" si="29">M21</f>
        <v>0</v>
      </c>
      <c r="L22" s="62">
        <f>K22*'Baseline Inputs'!$C$255/100</f>
        <v>0</v>
      </c>
      <c r="M22" s="62">
        <f t="shared" si="8"/>
        <v>0</v>
      </c>
      <c r="N22" s="62">
        <f t="shared" ref="N22:N40" si="30">P21</f>
        <v>7731.0389215012474</v>
      </c>
      <c r="O22" s="62">
        <f>N22*'Baseline Inputs'!$C$256/100</f>
        <v>618.48311372009982</v>
      </c>
      <c r="P22" s="62">
        <f t="shared" si="9"/>
        <v>7112.5558077811475</v>
      </c>
      <c r="Q22" s="62">
        <f t="shared" ref="Q22:Q40" si="31">S21</f>
        <v>5997.4161916064559</v>
      </c>
      <c r="R22" s="62">
        <f>Q22*'Baseline Inputs'!$C$257/100</f>
        <v>479.79329532851648</v>
      </c>
      <c r="S22" s="62">
        <f t="shared" si="10"/>
        <v>5517.6228962779396</v>
      </c>
      <c r="T22" s="62">
        <f t="shared" ref="T22:T40" si="32">V21</f>
        <v>18749.85276769862</v>
      </c>
      <c r="U22" s="62">
        <f>T22*'Baseline Inputs'!$C$258/100</f>
        <v>1499.9882214158895</v>
      </c>
      <c r="V22" s="62">
        <f t="shared" si="11"/>
        <v>17249.86454628273</v>
      </c>
      <c r="W22" s="62">
        <f t="shared" ref="W22:W40" si="33">Y21</f>
        <v>0</v>
      </c>
      <c r="X22" s="62">
        <f>W22*'Baseline Inputs'!$C$259/100</f>
        <v>0</v>
      </c>
      <c r="Y22" s="62">
        <f t="shared" si="12"/>
        <v>0</v>
      </c>
      <c r="Z22" s="62">
        <f t="shared" ref="Z22:Z40" si="34">AB21</f>
        <v>0</v>
      </c>
      <c r="AA22" s="62">
        <f>Z22*'Baseline Inputs'!$C$260/100</f>
        <v>0</v>
      </c>
      <c r="AB22" s="62">
        <f t="shared" si="13"/>
        <v>0</v>
      </c>
      <c r="AC22" s="62">
        <f t="shared" ref="AC22:AC40" si="35">AE21</f>
        <v>0</v>
      </c>
      <c r="AD22" s="62">
        <f>AC22*'Baseline Inputs'!$C$261/100</f>
        <v>0</v>
      </c>
      <c r="AE22" s="62">
        <f t="shared" si="14"/>
        <v>0</v>
      </c>
      <c r="AF22" s="62">
        <f t="shared" ref="AF22:AF40" si="36">AH21</f>
        <v>0</v>
      </c>
      <c r="AG22" s="62">
        <f>AF22*'Baseline Inputs'!$C$264/100</f>
        <v>0</v>
      </c>
      <c r="AH22" s="62">
        <f t="shared" si="15"/>
        <v>0</v>
      </c>
      <c r="AI22" s="62">
        <f t="shared" ref="AI22:AI40" si="37">AK21</f>
        <v>0</v>
      </c>
      <c r="AJ22" s="62">
        <f>AI22*'Baseline Inputs'!$C$265/100</f>
        <v>0</v>
      </c>
      <c r="AK22" s="62">
        <f t="shared" si="16"/>
        <v>0</v>
      </c>
      <c r="AL22" s="62">
        <f t="shared" ref="AL22:AL40" si="38">AN21</f>
        <v>0</v>
      </c>
      <c r="AM22" s="62">
        <f>AL22*'Baseline Inputs'!$C$266/100</f>
        <v>0</v>
      </c>
      <c r="AN22" s="62">
        <f t="shared" si="17"/>
        <v>0</v>
      </c>
      <c r="AO22" s="62">
        <f t="shared" ref="AO22:AO40" si="39">AQ21</f>
        <v>0</v>
      </c>
      <c r="AP22" s="62">
        <f>AO22*'Baseline Inputs'!$C$267/100</f>
        <v>0</v>
      </c>
      <c r="AQ22" s="62">
        <f t="shared" si="18"/>
        <v>0</v>
      </c>
      <c r="AR22" s="62">
        <f t="shared" ref="AR22:AR40" si="40">AT21</f>
        <v>0</v>
      </c>
      <c r="AS22" s="62">
        <f>AR22*'Baseline Inputs'!$C$268/100</f>
        <v>0</v>
      </c>
      <c r="AT22" s="62">
        <f t="shared" si="19"/>
        <v>0</v>
      </c>
      <c r="AU22" s="62">
        <f t="shared" ref="AU22:AU40" si="41">AW21</f>
        <v>0</v>
      </c>
      <c r="AV22" s="62">
        <f>AU22*'Baseline Inputs'!$C$269/100</f>
        <v>0</v>
      </c>
      <c r="AW22" s="62">
        <f t="shared" si="20"/>
        <v>0</v>
      </c>
      <c r="AX22" s="62">
        <f t="shared" ref="AX22:AX40" si="42">AZ21</f>
        <v>0</v>
      </c>
      <c r="AY22" s="62">
        <f>AX22*'Baseline Inputs'!$C$270/100</f>
        <v>0</v>
      </c>
      <c r="AZ22" s="62">
        <f t="shared" si="21"/>
        <v>0</v>
      </c>
      <c r="BA22" s="62">
        <f t="shared" ref="BA22:BA40" si="43">BC21</f>
        <v>0</v>
      </c>
      <c r="BB22" s="62">
        <f>BA22*'Baseline Inputs'!$C$271/100</f>
        <v>0</v>
      </c>
      <c r="BC22" s="62">
        <f t="shared" si="22"/>
        <v>0</v>
      </c>
      <c r="BD22" s="62">
        <f t="shared" ref="BD22:BD40" si="44">BF21</f>
        <v>0</v>
      </c>
      <c r="BE22" s="62">
        <f>BD22*'Baseline Inputs'!$C$272/100</f>
        <v>0</v>
      </c>
      <c r="BF22" s="62">
        <f t="shared" si="23"/>
        <v>0</v>
      </c>
      <c r="BG22" s="62">
        <f t="shared" ref="BG22:BG40" si="45">BI21</f>
        <v>0</v>
      </c>
      <c r="BH22" s="62">
        <f>BG22*'Baseline Inputs'!$C$273/100</f>
        <v>0</v>
      </c>
      <c r="BI22" s="62">
        <f t="shared" si="24"/>
        <v>0</v>
      </c>
      <c r="BJ22" s="62">
        <f t="shared" si="1"/>
        <v>2598.2646304645059</v>
      </c>
      <c r="BK22" s="62">
        <f t="shared" si="2"/>
        <v>29880.043250341816</v>
      </c>
      <c r="BL22" s="62">
        <f t="shared" ref="BL22:BL40" si="46">BL21</f>
        <v>0</v>
      </c>
      <c r="BM22" s="62">
        <f t="shared" si="3"/>
        <v>29880.043250341816</v>
      </c>
      <c r="BN22" s="66">
        <f t="shared" ref="BN22:BN40" si="47">BN21</f>
        <v>0</v>
      </c>
      <c r="BO22" s="62">
        <f t="shared" si="4"/>
        <v>0</v>
      </c>
    </row>
    <row r="23" spans="1:67" x14ac:dyDescent="0.2">
      <c r="A23" s="4">
        <f t="shared" si="5"/>
        <v>2029</v>
      </c>
      <c r="B23" s="62">
        <f t="shared" si="25"/>
        <v>0</v>
      </c>
      <c r="C23" s="62">
        <f>B23*'Baseline Inputs'!$C$252/100</f>
        <v>0</v>
      </c>
      <c r="D23" s="62">
        <f t="shared" si="26"/>
        <v>0</v>
      </c>
      <c r="E23" s="62">
        <f t="shared" si="27"/>
        <v>0</v>
      </c>
      <c r="F23" s="62">
        <f>E23*'Baseline Inputs'!$C$253/100</f>
        <v>0</v>
      </c>
      <c r="G23" s="62">
        <f t="shared" si="6"/>
        <v>0</v>
      </c>
      <c r="H23" s="62">
        <f t="shared" si="28"/>
        <v>0</v>
      </c>
      <c r="I23" s="62">
        <f>H23*'Baseline Inputs'!$C$254/100</f>
        <v>0</v>
      </c>
      <c r="J23" s="62">
        <f t="shared" si="7"/>
        <v>0</v>
      </c>
      <c r="K23" s="62">
        <f t="shared" si="29"/>
        <v>0</v>
      </c>
      <c r="L23" s="62">
        <f>K23*'Baseline Inputs'!$C$255/100</f>
        <v>0</v>
      </c>
      <c r="M23" s="62">
        <f t="shared" si="8"/>
        <v>0</v>
      </c>
      <c r="N23" s="62">
        <f t="shared" si="30"/>
        <v>7112.5558077811475</v>
      </c>
      <c r="O23" s="62">
        <f>N23*'Baseline Inputs'!$C$256/100</f>
        <v>569.00446462249181</v>
      </c>
      <c r="P23" s="62">
        <f t="shared" si="9"/>
        <v>6543.551343158656</v>
      </c>
      <c r="Q23" s="62">
        <f t="shared" si="31"/>
        <v>5517.6228962779396</v>
      </c>
      <c r="R23" s="62">
        <f>Q23*'Baseline Inputs'!$C$257/100</f>
        <v>441.40983170223518</v>
      </c>
      <c r="S23" s="62">
        <f t="shared" si="10"/>
        <v>5076.2130645757043</v>
      </c>
      <c r="T23" s="62">
        <f t="shared" si="32"/>
        <v>17249.86454628273</v>
      </c>
      <c r="U23" s="62">
        <f>T23*'Baseline Inputs'!$C$258/100</f>
        <v>1379.9891637026185</v>
      </c>
      <c r="V23" s="62">
        <f t="shared" si="11"/>
        <v>15869.87538258011</v>
      </c>
      <c r="W23" s="62">
        <f t="shared" si="33"/>
        <v>0</v>
      </c>
      <c r="X23" s="62">
        <f>W23*'Baseline Inputs'!$C$259/100</f>
        <v>0</v>
      </c>
      <c r="Y23" s="62">
        <f t="shared" si="12"/>
        <v>0</v>
      </c>
      <c r="Z23" s="62">
        <f t="shared" si="34"/>
        <v>0</v>
      </c>
      <c r="AA23" s="62">
        <f>Z23*'Baseline Inputs'!$C$260/100</f>
        <v>0</v>
      </c>
      <c r="AB23" s="62">
        <f t="shared" si="13"/>
        <v>0</v>
      </c>
      <c r="AC23" s="62">
        <f t="shared" si="35"/>
        <v>0</v>
      </c>
      <c r="AD23" s="62">
        <f>AC23*'Baseline Inputs'!$C$261/100</f>
        <v>0</v>
      </c>
      <c r="AE23" s="62">
        <f t="shared" si="14"/>
        <v>0</v>
      </c>
      <c r="AF23" s="62">
        <f t="shared" si="36"/>
        <v>0</v>
      </c>
      <c r="AG23" s="62">
        <f>AF23*'Baseline Inputs'!$C$264/100</f>
        <v>0</v>
      </c>
      <c r="AH23" s="62">
        <f t="shared" si="15"/>
        <v>0</v>
      </c>
      <c r="AI23" s="62">
        <f t="shared" si="37"/>
        <v>0</v>
      </c>
      <c r="AJ23" s="62">
        <f>AI23*'Baseline Inputs'!$C$265/100</f>
        <v>0</v>
      </c>
      <c r="AK23" s="62">
        <f t="shared" si="16"/>
        <v>0</v>
      </c>
      <c r="AL23" s="62">
        <f t="shared" si="38"/>
        <v>0</v>
      </c>
      <c r="AM23" s="62">
        <f>AL23*'Baseline Inputs'!$C$266/100</f>
        <v>0</v>
      </c>
      <c r="AN23" s="62">
        <f t="shared" si="17"/>
        <v>0</v>
      </c>
      <c r="AO23" s="62">
        <f t="shared" si="39"/>
        <v>0</v>
      </c>
      <c r="AP23" s="62">
        <f>AO23*'Baseline Inputs'!$C$267/100</f>
        <v>0</v>
      </c>
      <c r="AQ23" s="62">
        <f t="shared" si="18"/>
        <v>0</v>
      </c>
      <c r="AR23" s="62">
        <f t="shared" si="40"/>
        <v>0</v>
      </c>
      <c r="AS23" s="62">
        <f>AR23*'Baseline Inputs'!$C$268/100</f>
        <v>0</v>
      </c>
      <c r="AT23" s="62">
        <f t="shared" si="19"/>
        <v>0</v>
      </c>
      <c r="AU23" s="62">
        <f t="shared" si="41"/>
        <v>0</v>
      </c>
      <c r="AV23" s="62">
        <f>AU23*'Baseline Inputs'!$C$269/100</f>
        <v>0</v>
      </c>
      <c r="AW23" s="62">
        <f t="shared" si="20"/>
        <v>0</v>
      </c>
      <c r="AX23" s="62">
        <f t="shared" si="42"/>
        <v>0</v>
      </c>
      <c r="AY23" s="62">
        <f>AX23*'Baseline Inputs'!$C$270/100</f>
        <v>0</v>
      </c>
      <c r="AZ23" s="62">
        <f t="shared" si="21"/>
        <v>0</v>
      </c>
      <c r="BA23" s="62">
        <f t="shared" si="43"/>
        <v>0</v>
      </c>
      <c r="BB23" s="62">
        <f>BA23*'Baseline Inputs'!$C$271/100</f>
        <v>0</v>
      </c>
      <c r="BC23" s="62">
        <f t="shared" si="22"/>
        <v>0</v>
      </c>
      <c r="BD23" s="62">
        <f t="shared" si="44"/>
        <v>0</v>
      </c>
      <c r="BE23" s="62">
        <f>BD23*'Baseline Inputs'!$C$272/100</f>
        <v>0</v>
      </c>
      <c r="BF23" s="62">
        <f t="shared" si="23"/>
        <v>0</v>
      </c>
      <c r="BG23" s="62">
        <f t="shared" si="45"/>
        <v>0</v>
      </c>
      <c r="BH23" s="62">
        <f>BG23*'Baseline Inputs'!$C$273/100</f>
        <v>0</v>
      </c>
      <c r="BI23" s="62">
        <f t="shared" si="24"/>
        <v>0</v>
      </c>
      <c r="BJ23" s="62">
        <f t="shared" si="1"/>
        <v>2390.4034600273453</v>
      </c>
      <c r="BK23" s="62">
        <f t="shared" si="2"/>
        <v>27489.639790314472</v>
      </c>
      <c r="BL23" s="62">
        <f t="shared" si="46"/>
        <v>0</v>
      </c>
      <c r="BM23" s="62">
        <f t="shared" si="3"/>
        <v>27489.639790314472</v>
      </c>
      <c r="BN23" s="66">
        <f t="shared" si="47"/>
        <v>0</v>
      </c>
      <c r="BO23" s="62">
        <f t="shared" si="4"/>
        <v>0</v>
      </c>
    </row>
    <row r="24" spans="1:67" x14ac:dyDescent="0.2">
      <c r="A24" s="4">
        <f t="shared" si="5"/>
        <v>2030</v>
      </c>
      <c r="B24" s="62">
        <f t="shared" si="25"/>
        <v>0</v>
      </c>
      <c r="C24" s="62">
        <f>B24*'Baseline Inputs'!$C$252/100</f>
        <v>0</v>
      </c>
      <c r="D24" s="62">
        <f t="shared" si="26"/>
        <v>0</v>
      </c>
      <c r="E24" s="62">
        <f t="shared" si="27"/>
        <v>0</v>
      </c>
      <c r="F24" s="62">
        <f>E24*'Baseline Inputs'!$C$253/100</f>
        <v>0</v>
      </c>
      <c r="G24" s="62">
        <f t="shared" si="6"/>
        <v>0</v>
      </c>
      <c r="H24" s="62">
        <f t="shared" si="28"/>
        <v>0</v>
      </c>
      <c r="I24" s="62">
        <f>H24*'Baseline Inputs'!$C$254/100</f>
        <v>0</v>
      </c>
      <c r="J24" s="62">
        <f t="shared" si="7"/>
        <v>0</v>
      </c>
      <c r="K24" s="62">
        <f t="shared" si="29"/>
        <v>0</v>
      </c>
      <c r="L24" s="62">
        <f>K24*'Baseline Inputs'!$C$255/100</f>
        <v>0</v>
      </c>
      <c r="M24" s="62">
        <f t="shared" si="8"/>
        <v>0</v>
      </c>
      <c r="N24" s="62">
        <f t="shared" si="30"/>
        <v>6543.551343158656</v>
      </c>
      <c r="O24" s="62">
        <f>N24*'Baseline Inputs'!$C$256/100</f>
        <v>523.48410745269246</v>
      </c>
      <c r="P24" s="62">
        <f t="shared" si="9"/>
        <v>6020.0672357059639</v>
      </c>
      <c r="Q24" s="62">
        <f t="shared" si="31"/>
        <v>5076.2130645757043</v>
      </c>
      <c r="R24" s="62">
        <f>Q24*'Baseline Inputs'!$C$257/100</f>
        <v>406.09704516605632</v>
      </c>
      <c r="S24" s="62">
        <f t="shared" si="10"/>
        <v>4670.1160194096483</v>
      </c>
      <c r="T24" s="62">
        <f t="shared" si="32"/>
        <v>15869.87538258011</v>
      </c>
      <c r="U24" s="62">
        <f>T24*'Baseline Inputs'!$C$258/100</f>
        <v>1269.5900306064088</v>
      </c>
      <c r="V24" s="62">
        <f t="shared" si="11"/>
        <v>14600.285351973702</v>
      </c>
      <c r="W24" s="62">
        <f t="shared" si="33"/>
        <v>0</v>
      </c>
      <c r="X24" s="62">
        <f>W24*'Baseline Inputs'!$C$259/100</f>
        <v>0</v>
      </c>
      <c r="Y24" s="62">
        <f t="shared" si="12"/>
        <v>0</v>
      </c>
      <c r="Z24" s="62">
        <f t="shared" si="34"/>
        <v>0</v>
      </c>
      <c r="AA24" s="62">
        <f>Z24*'Baseline Inputs'!$C$260/100</f>
        <v>0</v>
      </c>
      <c r="AB24" s="62">
        <f t="shared" si="13"/>
        <v>0</v>
      </c>
      <c r="AC24" s="62">
        <f t="shared" si="35"/>
        <v>0</v>
      </c>
      <c r="AD24" s="62">
        <f>AC24*'Baseline Inputs'!$C$261/100</f>
        <v>0</v>
      </c>
      <c r="AE24" s="62">
        <f t="shared" si="14"/>
        <v>0</v>
      </c>
      <c r="AF24" s="62">
        <f t="shared" si="36"/>
        <v>0</v>
      </c>
      <c r="AG24" s="62">
        <f>AF24*'Baseline Inputs'!$C$264/100</f>
        <v>0</v>
      </c>
      <c r="AH24" s="62">
        <f t="shared" si="15"/>
        <v>0</v>
      </c>
      <c r="AI24" s="62">
        <f t="shared" si="37"/>
        <v>0</v>
      </c>
      <c r="AJ24" s="62">
        <f>AI24*'Baseline Inputs'!$C$265/100</f>
        <v>0</v>
      </c>
      <c r="AK24" s="62">
        <f t="shared" si="16"/>
        <v>0</v>
      </c>
      <c r="AL24" s="62">
        <f t="shared" si="38"/>
        <v>0</v>
      </c>
      <c r="AM24" s="62">
        <f>AL24*'Baseline Inputs'!$C$266/100</f>
        <v>0</v>
      </c>
      <c r="AN24" s="62">
        <f t="shared" si="17"/>
        <v>0</v>
      </c>
      <c r="AO24" s="62">
        <f t="shared" si="39"/>
        <v>0</v>
      </c>
      <c r="AP24" s="62">
        <f>AO24*'Baseline Inputs'!$C$267/100</f>
        <v>0</v>
      </c>
      <c r="AQ24" s="62">
        <f t="shared" si="18"/>
        <v>0</v>
      </c>
      <c r="AR24" s="62">
        <f t="shared" si="40"/>
        <v>0</v>
      </c>
      <c r="AS24" s="62">
        <f>AR24*'Baseline Inputs'!$C$268/100</f>
        <v>0</v>
      </c>
      <c r="AT24" s="62">
        <f t="shared" si="19"/>
        <v>0</v>
      </c>
      <c r="AU24" s="62">
        <f t="shared" si="41"/>
        <v>0</v>
      </c>
      <c r="AV24" s="62">
        <f>AU24*'Baseline Inputs'!$C$269/100</f>
        <v>0</v>
      </c>
      <c r="AW24" s="62">
        <f t="shared" si="20"/>
        <v>0</v>
      </c>
      <c r="AX24" s="62">
        <f t="shared" si="42"/>
        <v>0</v>
      </c>
      <c r="AY24" s="62">
        <f>AX24*'Baseline Inputs'!$C$270/100</f>
        <v>0</v>
      </c>
      <c r="AZ24" s="62">
        <f t="shared" si="21"/>
        <v>0</v>
      </c>
      <c r="BA24" s="62">
        <f t="shared" si="43"/>
        <v>0</v>
      </c>
      <c r="BB24" s="62">
        <f>BA24*'Baseline Inputs'!$C$271/100</f>
        <v>0</v>
      </c>
      <c r="BC24" s="62">
        <f t="shared" si="22"/>
        <v>0</v>
      </c>
      <c r="BD24" s="62">
        <f t="shared" si="44"/>
        <v>0</v>
      </c>
      <c r="BE24" s="62">
        <f>BD24*'Baseline Inputs'!$C$272/100</f>
        <v>0</v>
      </c>
      <c r="BF24" s="62">
        <f t="shared" si="23"/>
        <v>0</v>
      </c>
      <c r="BG24" s="62">
        <f t="shared" si="45"/>
        <v>0</v>
      </c>
      <c r="BH24" s="62">
        <f>BG24*'Baseline Inputs'!$C$273/100</f>
        <v>0</v>
      </c>
      <c r="BI24" s="62">
        <f t="shared" si="24"/>
        <v>0</v>
      </c>
      <c r="BJ24" s="62">
        <f t="shared" si="1"/>
        <v>2199.1711832251576</v>
      </c>
      <c r="BK24" s="62">
        <f t="shared" si="2"/>
        <v>25290.468607089315</v>
      </c>
      <c r="BL24" s="62">
        <f t="shared" si="46"/>
        <v>0</v>
      </c>
      <c r="BM24" s="62">
        <f t="shared" si="3"/>
        <v>25290.468607089315</v>
      </c>
      <c r="BN24" s="66">
        <f t="shared" si="47"/>
        <v>0</v>
      </c>
      <c r="BO24" s="62">
        <f t="shared" si="4"/>
        <v>0</v>
      </c>
    </row>
    <row r="25" spans="1:67" x14ac:dyDescent="0.2">
      <c r="A25" s="4">
        <f t="shared" si="5"/>
        <v>2031</v>
      </c>
      <c r="B25" s="62">
        <f t="shared" si="25"/>
        <v>0</v>
      </c>
      <c r="C25" s="62">
        <f>B25*'Baseline Inputs'!$C$252/100</f>
        <v>0</v>
      </c>
      <c r="D25" s="62">
        <f t="shared" si="26"/>
        <v>0</v>
      </c>
      <c r="E25" s="62">
        <f t="shared" si="27"/>
        <v>0</v>
      </c>
      <c r="F25" s="62">
        <f>E25*'Baseline Inputs'!$C$253/100</f>
        <v>0</v>
      </c>
      <c r="G25" s="62">
        <f t="shared" si="6"/>
        <v>0</v>
      </c>
      <c r="H25" s="62">
        <f t="shared" si="28"/>
        <v>0</v>
      </c>
      <c r="I25" s="62">
        <f>H25*'Baseline Inputs'!$C$254/100</f>
        <v>0</v>
      </c>
      <c r="J25" s="62">
        <f t="shared" si="7"/>
        <v>0</v>
      </c>
      <c r="K25" s="62">
        <f t="shared" si="29"/>
        <v>0</v>
      </c>
      <c r="L25" s="62">
        <f>K25*'Baseline Inputs'!$C$255/100</f>
        <v>0</v>
      </c>
      <c r="M25" s="62">
        <f t="shared" si="8"/>
        <v>0</v>
      </c>
      <c r="N25" s="62">
        <f t="shared" si="30"/>
        <v>6020.0672357059639</v>
      </c>
      <c r="O25" s="62">
        <f>N25*'Baseline Inputs'!$C$256/100</f>
        <v>481.6053788564771</v>
      </c>
      <c r="P25" s="62">
        <f t="shared" si="9"/>
        <v>5538.461856849487</v>
      </c>
      <c r="Q25" s="62">
        <f t="shared" si="31"/>
        <v>4670.1160194096483</v>
      </c>
      <c r="R25" s="62">
        <f>Q25*'Baseline Inputs'!$C$257/100</f>
        <v>373.60928155277185</v>
      </c>
      <c r="S25" s="62">
        <f t="shared" si="10"/>
        <v>4296.5067378568765</v>
      </c>
      <c r="T25" s="62">
        <f t="shared" si="32"/>
        <v>14600.285351973702</v>
      </c>
      <c r="U25" s="62">
        <f>T25*'Baseline Inputs'!$C$258/100</f>
        <v>1168.0228281578961</v>
      </c>
      <c r="V25" s="62">
        <f t="shared" si="11"/>
        <v>13432.262523815805</v>
      </c>
      <c r="W25" s="62">
        <f t="shared" si="33"/>
        <v>0</v>
      </c>
      <c r="X25" s="62">
        <f>W25*'Baseline Inputs'!$C$259/100</f>
        <v>0</v>
      </c>
      <c r="Y25" s="62">
        <f t="shared" si="12"/>
        <v>0</v>
      </c>
      <c r="Z25" s="62">
        <f t="shared" si="34"/>
        <v>0</v>
      </c>
      <c r="AA25" s="62">
        <f>Z25*'Baseline Inputs'!$C$260/100</f>
        <v>0</v>
      </c>
      <c r="AB25" s="62">
        <f t="shared" si="13"/>
        <v>0</v>
      </c>
      <c r="AC25" s="62">
        <f t="shared" si="35"/>
        <v>0</v>
      </c>
      <c r="AD25" s="62">
        <f>AC25*'Baseline Inputs'!$C$261/100</f>
        <v>0</v>
      </c>
      <c r="AE25" s="62">
        <f t="shared" si="14"/>
        <v>0</v>
      </c>
      <c r="AF25" s="62">
        <f t="shared" si="36"/>
        <v>0</v>
      </c>
      <c r="AG25" s="62">
        <f>AF25*'Baseline Inputs'!$C$264/100</f>
        <v>0</v>
      </c>
      <c r="AH25" s="62">
        <f t="shared" si="15"/>
        <v>0</v>
      </c>
      <c r="AI25" s="62">
        <f t="shared" si="37"/>
        <v>0</v>
      </c>
      <c r="AJ25" s="62">
        <f>AI25*'Baseline Inputs'!$C$265/100</f>
        <v>0</v>
      </c>
      <c r="AK25" s="62">
        <f t="shared" si="16"/>
        <v>0</v>
      </c>
      <c r="AL25" s="62">
        <f t="shared" si="38"/>
        <v>0</v>
      </c>
      <c r="AM25" s="62">
        <f>AL25*'Baseline Inputs'!$C$266/100</f>
        <v>0</v>
      </c>
      <c r="AN25" s="62">
        <f t="shared" si="17"/>
        <v>0</v>
      </c>
      <c r="AO25" s="62">
        <f t="shared" si="39"/>
        <v>0</v>
      </c>
      <c r="AP25" s="62">
        <f>AO25*'Baseline Inputs'!$C$267/100</f>
        <v>0</v>
      </c>
      <c r="AQ25" s="62">
        <f t="shared" si="18"/>
        <v>0</v>
      </c>
      <c r="AR25" s="62">
        <f t="shared" si="40"/>
        <v>0</v>
      </c>
      <c r="AS25" s="62">
        <f>AR25*'Baseline Inputs'!$C$268/100</f>
        <v>0</v>
      </c>
      <c r="AT25" s="62">
        <f t="shared" si="19"/>
        <v>0</v>
      </c>
      <c r="AU25" s="62">
        <f t="shared" si="41"/>
        <v>0</v>
      </c>
      <c r="AV25" s="62">
        <f>AU25*'Baseline Inputs'!$C$269/100</f>
        <v>0</v>
      </c>
      <c r="AW25" s="62">
        <f t="shared" si="20"/>
        <v>0</v>
      </c>
      <c r="AX25" s="62">
        <f t="shared" si="42"/>
        <v>0</v>
      </c>
      <c r="AY25" s="62">
        <f>AX25*'Baseline Inputs'!$C$270/100</f>
        <v>0</v>
      </c>
      <c r="AZ25" s="62">
        <f t="shared" si="21"/>
        <v>0</v>
      </c>
      <c r="BA25" s="62">
        <f t="shared" si="43"/>
        <v>0</v>
      </c>
      <c r="BB25" s="62">
        <f>BA25*'Baseline Inputs'!$C$271/100</f>
        <v>0</v>
      </c>
      <c r="BC25" s="62">
        <f t="shared" si="22"/>
        <v>0</v>
      </c>
      <c r="BD25" s="62">
        <f t="shared" si="44"/>
        <v>0</v>
      </c>
      <c r="BE25" s="62">
        <f>BD25*'Baseline Inputs'!$C$272/100</f>
        <v>0</v>
      </c>
      <c r="BF25" s="62">
        <f t="shared" si="23"/>
        <v>0</v>
      </c>
      <c r="BG25" s="62">
        <f t="shared" si="45"/>
        <v>0</v>
      </c>
      <c r="BH25" s="62">
        <f>BG25*'Baseline Inputs'!$C$273/100</f>
        <v>0</v>
      </c>
      <c r="BI25" s="62">
        <f t="shared" si="24"/>
        <v>0</v>
      </c>
      <c r="BJ25" s="62">
        <f t="shared" si="1"/>
        <v>2023.2374885671452</v>
      </c>
      <c r="BK25" s="62">
        <f t="shared" si="2"/>
        <v>23267.23111852217</v>
      </c>
      <c r="BL25" s="62">
        <f t="shared" si="46"/>
        <v>0</v>
      </c>
      <c r="BM25" s="62">
        <f t="shared" si="3"/>
        <v>23267.23111852217</v>
      </c>
      <c r="BN25" s="66">
        <f t="shared" si="47"/>
        <v>0</v>
      </c>
      <c r="BO25" s="62">
        <f t="shared" si="4"/>
        <v>0</v>
      </c>
    </row>
    <row r="26" spans="1:67" x14ac:dyDescent="0.2">
      <c r="A26" s="4">
        <f t="shared" si="5"/>
        <v>2032</v>
      </c>
      <c r="B26" s="62">
        <f t="shared" si="25"/>
        <v>0</v>
      </c>
      <c r="C26" s="62">
        <f>B26*'Baseline Inputs'!$C$252/100</f>
        <v>0</v>
      </c>
      <c r="D26" s="62">
        <f t="shared" si="26"/>
        <v>0</v>
      </c>
      <c r="E26" s="62">
        <f t="shared" si="27"/>
        <v>0</v>
      </c>
      <c r="F26" s="62">
        <f>E26*'Baseline Inputs'!$C$253/100</f>
        <v>0</v>
      </c>
      <c r="G26" s="62">
        <f t="shared" si="6"/>
        <v>0</v>
      </c>
      <c r="H26" s="62">
        <f t="shared" si="28"/>
        <v>0</v>
      </c>
      <c r="I26" s="62">
        <f>H26*'Baseline Inputs'!$C$254/100</f>
        <v>0</v>
      </c>
      <c r="J26" s="62">
        <f t="shared" si="7"/>
        <v>0</v>
      </c>
      <c r="K26" s="62">
        <f t="shared" si="29"/>
        <v>0</v>
      </c>
      <c r="L26" s="62">
        <f>K26*'Baseline Inputs'!$C$255/100</f>
        <v>0</v>
      </c>
      <c r="M26" s="62">
        <f t="shared" si="8"/>
        <v>0</v>
      </c>
      <c r="N26" s="62">
        <f t="shared" si="30"/>
        <v>5538.461856849487</v>
      </c>
      <c r="O26" s="62">
        <f>N26*'Baseline Inputs'!$C$256/100</f>
        <v>443.07694854795898</v>
      </c>
      <c r="P26" s="62">
        <f t="shared" si="9"/>
        <v>5095.3849083015284</v>
      </c>
      <c r="Q26" s="62">
        <f t="shared" si="31"/>
        <v>4296.5067378568765</v>
      </c>
      <c r="R26" s="62">
        <f>Q26*'Baseline Inputs'!$C$257/100</f>
        <v>343.72053902855009</v>
      </c>
      <c r="S26" s="62">
        <f t="shared" si="10"/>
        <v>3952.7861988283266</v>
      </c>
      <c r="T26" s="62">
        <f t="shared" si="32"/>
        <v>13432.262523815805</v>
      </c>
      <c r="U26" s="62">
        <f>T26*'Baseline Inputs'!$C$258/100</f>
        <v>1074.5810019052644</v>
      </c>
      <c r="V26" s="62">
        <f t="shared" si="11"/>
        <v>12357.681521910541</v>
      </c>
      <c r="W26" s="62">
        <f t="shared" si="33"/>
        <v>0</v>
      </c>
      <c r="X26" s="62">
        <f>W26*'Baseline Inputs'!$C$259/100</f>
        <v>0</v>
      </c>
      <c r="Y26" s="62">
        <f t="shared" si="12"/>
        <v>0</v>
      </c>
      <c r="Z26" s="62">
        <f t="shared" si="34"/>
        <v>0</v>
      </c>
      <c r="AA26" s="62">
        <f>Z26*'Baseline Inputs'!$C$260/100</f>
        <v>0</v>
      </c>
      <c r="AB26" s="62">
        <f t="shared" si="13"/>
        <v>0</v>
      </c>
      <c r="AC26" s="62">
        <f t="shared" si="35"/>
        <v>0</v>
      </c>
      <c r="AD26" s="62">
        <f>AC26*'Baseline Inputs'!$C$261/100</f>
        <v>0</v>
      </c>
      <c r="AE26" s="62">
        <f t="shared" si="14"/>
        <v>0</v>
      </c>
      <c r="AF26" s="62">
        <f t="shared" si="36"/>
        <v>0</v>
      </c>
      <c r="AG26" s="62">
        <f>AF26*'Baseline Inputs'!$C$264/100</f>
        <v>0</v>
      </c>
      <c r="AH26" s="62">
        <f t="shared" si="15"/>
        <v>0</v>
      </c>
      <c r="AI26" s="62">
        <f t="shared" si="37"/>
        <v>0</v>
      </c>
      <c r="AJ26" s="62">
        <f>AI26*'Baseline Inputs'!$C$265/100</f>
        <v>0</v>
      </c>
      <c r="AK26" s="62">
        <f t="shared" si="16"/>
        <v>0</v>
      </c>
      <c r="AL26" s="62">
        <f t="shared" si="38"/>
        <v>0</v>
      </c>
      <c r="AM26" s="62">
        <f>AL26*'Baseline Inputs'!$C$266/100</f>
        <v>0</v>
      </c>
      <c r="AN26" s="62">
        <f t="shared" si="17"/>
        <v>0</v>
      </c>
      <c r="AO26" s="62">
        <f t="shared" si="39"/>
        <v>0</v>
      </c>
      <c r="AP26" s="62">
        <f>AO26*'Baseline Inputs'!$C$267/100</f>
        <v>0</v>
      </c>
      <c r="AQ26" s="62">
        <f t="shared" si="18"/>
        <v>0</v>
      </c>
      <c r="AR26" s="62">
        <f t="shared" si="40"/>
        <v>0</v>
      </c>
      <c r="AS26" s="62">
        <f>AR26*'Baseline Inputs'!$C$268/100</f>
        <v>0</v>
      </c>
      <c r="AT26" s="62">
        <f t="shared" si="19"/>
        <v>0</v>
      </c>
      <c r="AU26" s="62">
        <f t="shared" si="41"/>
        <v>0</v>
      </c>
      <c r="AV26" s="62">
        <f>AU26*'Baseline Inputs'!$C$269/100</f>
        <v>0</v>
      </c>
      <c r="AW26" s="62">
        <f t="shared" si="20"/>
        <v>0</v>
      </c>
      <c r="AX26" s="62">
        <f t="shared" si="42"/>
        <v>0</v>
      </c>
      <c r="AY26" s="62">
        <f>AX26*'Baseline Inputs'!$C$270/100</f>
        <v>0</v>
      </c>
      <c r="AZ26" s="62">
        <f t="shared" si="21"/>
        <v>0</v>
      </c>
      <c r="BA26" s="62">
        <f t="shared" si="43"/>
        <v>0</v>
      </c>
      <c r="BB26" s="62">
        <f>BA26*'Baseline Inputs'!$C$271/100</f>
        <v>0</v>
      </c>
      <c r="BC26" s="62">
        <f t="shared" si="22"/>
        <v>0</v>
      </c>
      <c r="BD26" s="62">
        <f t="shared" si="44"/>
        <v>0</v>
      </c>
      <c r="BE26" s="62">
        <f>BD26*'Baseline Inputs'!$C$272/100</f>
        <v>0</v>
      </c>
      <c r="BF26" s="62">
        <f t="shared" si="23"/>
        <v>0</v>
      </c>
      <c r="BG26" s="62">
        <f t="shared" si="45"/>
        <v>0</v>
      </c>
      <c r="BH26" s="62">
        <f>BG26*'Baseline Inputs'!$C$273/100</f>
        <v>0</v>
      </c>
      <c r="BI26" s="62">
        <f t="shared" si="24"/>
        <v>0</v>
      </c>
      <c r="BJ26" s="62">
        <f t="shared" si="1"/>
        <v>1861.3784894817736</v>
      </c>
      <c r="BK26" s="62">
        <f t="shared" si="2"/>
        <v>21405.852629040397</v>
      </c>
      <c r="BL26" s="62">
        <f t="shared" si="46"/>
        <v>0</v>
      </c>
      <c r="BM26" s="62">
        <f t="shared" si="3"/>
        <v>21405.852629040397</v>
      </c>
      <c r="BN26" s="66">
        <f t="shared" si="47"/>
        <v>0</v>
      </c>
      <c r="BO26" s="62">
        <f t="shared" si="4"/>
        <v>0</v>
      </c>
    </row>
    <row r="27" spans="1:67" x14ac:dyDescent="0.2">
      <c r="A27" s="4">
        <f t="shared" si="5"/>
        <v>2033</v>
      </c>
      <c r="B27" s="62">
        <f t="shared" si="25"/>
        <v>0</v>
      </c>
      <c r="C27" s="62">
        <f>B27*'Baseline Inputs'!$C$252/100</f>
        <v>0</v>
      </c>
      <c r="D27" s="62">
        <f t="shared" si="26"/>
        <v>0</v>
      </c>
      <c r="E27" s="62">
        <f t="shared" si="27"/>
        <v>0</v>
      </c>
      <c r="F27" s="62">
        <f>E27*'Baseline Inputs'!$C$253/100</f>
        <v>0</v>
      </c>
      <c r="G27" s="62">
        <f t="shared" si="6"/>
        <v>0</v>
      </c>
      <c r="H27" s="62">
        <f t="shared" si="28"/>
        <v>0</v>
      </c>
      <c r="I27" s="62">
        <f>H27*'Baseline Inputs'!$C$254/100</f>
        <v>0</v>
      </c>
      <c r="J27" s="62">
        <f t="shared" si="7"/>
        <v>0</v>
      </c>
      <c r="K27" s="62">
        <f t="shared" si="29"/>
        <v>0</v>
      </c>
      <c r="L27" s="62">
        <f>K27*'Baseline Inputs'!$C$255/100</f>
        <v>0</v>
      </c>
      <c r="M27" s="62">
        <f t="shared" si="8"/>
        <v>0</v>
      </c>
      <c r="N27" s="62">
        <f t="shared" si="30"/>
        <v>5095.3849083015284</v>
      </c>
      <c r="O27" s="62">
        <f>N27*'Baseline Inputs'!$C$256/100</f>
        <v>407.63079266412228</v>
      </c>
      <c r="P27" s="62">
        <f t="shared" si="9"/>
        <v>4687.7541156374064</v>
      </c>
      <c r="Q27" s="62">
        <f t="shared" si="31"/>
        <v>3952.7861988283266</v>
      </c>
      <c r="R27" s="62">
        <f>Q27*'Baseline Inputs'!$C$257/100</f>
        <v>316.2228959062661</v>
      </c>
      <c r="S27" s="62">
        <f t="shared" si="10"/>
        <v>3636.5633029220608</v>
      </c>
      <c r="T27" s="62">
        <f t="shared" si="32"/>
        <v>12357.681521910541</v>
      </c>
      <c r="U27" s="62">
        <f>T27*'Baseline Inputs'!$C$258/100</f>
        <v>988.6145217528433</v>
      </c>
      <c r="V27" s="62">
        <f t="shared" si="11"/>
        <v>11369.067000157698</v>
      </c>
      <c r="W27" s="62">
        <f t="shared" si="33"/>
        <v>0</v>
      </c>
      <c r="X27" s="62">
        <f>W27*'Baseline Inputs'!$C$259/100</f>
        <v>0</v>
      </c>
      <c r="Y27" s="62">
        <f t="shared" si="12"/>
        <v>0</v>
      </c>
      <c r="Z27" s="62">
        <f t="shared" si="34"/>
        <v>0</v>
      </c>
      <c r="AA27" s="62">
        <f>Z27*'Baseline Inputs'!$C$260/100</f>
        <v>0</v>
      </c>
      <c r="AB27" s="62">
        <f t="shared" si="13"/>
        <v>0</v>
      </c>
      <c r="AC27" s="62">
        <f t="shared" si="35"/>
        <v>0</v>
      </c>
      <c r="AD27" s="62">
        <f>AC27*'Baseline Inputs'!$C$261/100</f>
        <v>0</v>
      </c>
      <c r="AE27" s="62">
        <f t="shared" si="14"/>
        <v>0</v>
      </c>
      <c r="AF27" s="62">
        <f t="shared" si="36"/>
        <v>0</v>
      </c>
      <c r="AG27" s="62">
        <f>AF27*'Baseline Inputs'!$C$264/100</f>
        <v>0</v>
      </c>
      <c r="AH27" s="62">
        <f t="shared" si="15"/>
        <v>0</v>
      </c>
      <c r="AI27" s="62">
        <f t="shared" si="37"/>
        <v>0</v>
      </c>
      <c r="AJ27" s="62">
        <f>AI27*'Baseline Inputs'!$C$265/100</f>
        <v>0</v>
      </c>
      <c r="AK27" s="62">
        <f t="shared" si="16"/>
        <v>0</v>
      </c>
      <c r="AL27" s="62">
        <f t="shared" si="38"/>
        <v>0</v>
      </c>
      <c r="AM27" s="62">
        <f>AL27*'Baseline Inputs'!$C$266/100</f>
        <v>0</v>
      </c>
      <c r="AN27" s="62">
        <f t="shared" si="17"/>
        <v>0</v>
      </c>
      <c r="AO27" s="62">
        <f t="shared" si="39"/>
        <v>0</v>
      </c>
      <c r="AP27" s="62">
        <f>AO27*'Baseline Inputs'!$C$267/100</f>
        <v>0</v>
      </c>
      <c r="AQ27" s="62">
        <f t="shared" si="18"/>
        <v>0</v>
      </c>
      <c r="AR27" s="62">
        <f t="shared" si="40"/>
        <v>0</v>
      </c>
      <c r="AS27" s="62">
        <f>AR27*'Baseline Inputs'!$C$268/100</f>
        <v>0</v>
      </c>
      <c r="AT27" s="62">
        <f t="shared" si="19"/>
        <v>0</v>
      </c>
      <c r="AU27" s="62">
        <f t="shared" si="41"/>
        <v>0</v>
      </c>
      <c r="AV27" s="62">
        <f>AU27*'Baseline Inputs'!$C$269/100</f>
        <v>0</v>
      </c>
      <c r="AW27" s="62">
        <f t="shared" si="20"/>
        <v>0</v>
      </c>
      <c r="AX27" s="62">
        <f t="shared" si="42"/>
        <v>0</v>
      </c>
      <c r="AY27" s="62">
        <f>AX27*'Baseline Inputs'!$C$270/100</f>
        <v>0</v>
      </c>
      <c r="AZ27" s="62">
        <f t="shared" si="21"/>
        <v>0</v>
      </c>
      <c r="BA27" s="62">
        <f t="shared" si="43"/>
        <v>0</v>
      </c>
      <c r="BB27" s="62">
        <f>BA27*'Baseline Inputs'!$C$271/100</f>
        <v>0</v>
      </c>
      <c r="BC27" s="62">
        <f t="shared" si="22"/>
        <v>0</v>
      </c>
      <c r="BD27" s="62">
        <f t="shared" si="44"/>
        <v>0</v>
      </c>
      <c r="BE27" s="62">
        <f>BD27*'Baseline Inputs'!$C$272/100</f>
        <v>0</v>
      </c>
      <c r="BF27" s="62">
        <f t="shared" si="23"/>
        <v>0</v>
      </c>
      <c r="BG27" s="62">
        <f t="shared" si="45"/>
        <v>0</v>
      </c>
      <c r="BH27" s="62">
        <f>BG27*'Baseline Inputs'!$C$273/100</f>
        <v>0</v>
      </c>
      <c r="BI27" s="62">
        <f t="shared" si="24"/>
        <v>0</v>
      </c>
      <c r="BJ27" s="62">
        <f t="shared" si="1"/>
        <v>1712.4682103232317</v>
      </c>
      <c r="BK27" s="62">
        <f t="shared" si="2"/>
        <v>19693.384418717163</v>
      </c>
      <c r="BL27" s="62">
        <f t="shared" si="46"/>
        <v>0</v>
      </c>
      <c r="BM27" s="62">
        <f t="shared" si="3"/>
        <v>19693.384418717163</v>
      </c>
      <c r="BN27" s="66">
        <f t="shared" si="47"/>
        <v>0</v>
      </c>
      <c r="BO27" s="62">
        <f t="shared" si="4"/>
        <v>0</v>
      </c>
    </row>
    <row r="28" spans="1:67" x14ac:dyDescent="0.2">
      <c r="A28" s="4">
        <f t="shared" si="5"/>
        <v>2034</v>
      </c>
      <c r="B28" s="62">
        <f t="shared" si="25"/>
        <v>0</v>
      </c>
      <c r="C28" s="62">
        <f>B28*'Baseline Inputs'!$C$252/100</f>
        <v>0</v>
      </c>
      <c r="D28" s="62">
        <f t="shared" si="26"/>
        <v>0</v>
      </c>
      <c r="E28" s="62">
        <f t="shared" si="27"/>
        <v>0</v>
      </c>
      <c r="F28" s="62">
        <f>E28*'Baseline Inputs'!$C$253/100</f>
        <v>0</v>
      </c>
      <c r="G28" s="62">
        <f t="shared" si="6"/>
        <v>0</v>
      </c>
      <c r="H28" s="62">
        <f t="shared" si="28"/>
        <v>0</v>
      </c>
      <c r="I28" s="62">
        <f>H28*'Baseline Inputs'!$C$254/100</f>
        <v>0</v>
      </c>
      <c r="J28" s="62">
        <f t="shared" si="7"/>
        <v>0</v>
      </c>
      <c r="K28" s="62">
        <f t="shared" si="29"/>
        <v>0</v>
      </c>
      <c r="L28" s="62">
        <f>K28*'Baseline Inputs'!$C$255/100</f>
        <v>0</v>
      </c>
      <c r="M28" s="62">
        <f t="shared" si="8"/>
        <v>0</v>
      </c>
      <c r="N28" s="62">
        <f t="shared" si="30"/>
        <v>4687.7541156374064</v>
      </c>
      <c r="O28" s="62">
        <f>N28*'Baseline Inputs'!$C$256/100</f>
        <v>375.02032925099252</v>
      </c>
      <c r="P28" s="62">
        <f t="shared" si="9"/>
        <v>4312.7337863864141</v>
      </c>
      <c r="Q28" s="62">
        <f t="shared" si="31"/>
        <v>3636.5633029220608</v>
      </c>
      <c r="R28" s="62">
        <f>Q28*'Baseline Inputs'!$C$257/100</f>
        <v>290.92506423376489</v>
      </c>
      <c r="S28" s="62">
        <f t="shared" si="10"/>
        <v>3345.638238688296</v>
      </c>
      <c r="T28" s="62">
        <f t="shared" si="32"/>
        <v>11369.067000157698</v>
      </c>
      <c r="U28" s="62">
        <f>T28*'Baseline Inputs'!$C$258/100</f>
        <v>909.52536001261581</v>
      </c>
      <c r="V28" s="62">
        <f t="shared" si="11"/>
        <v>10459.541640145082</v>
      </c>
      <c r="W28" s="62">
        <f t="shared" si="33"/>
        <v>0</v>
      </c>
      <c r="X28" s="62">
        <f>W28*'Baseline Inputs'!$C$259/100</f>
        <v>0</v>
      </c>
      <c r="Y28" s="62">
        <f t="shared" si="12"/>
        <v>0</v>
      </c>
      <c r="Z28" s="62">
        <f t="shared" si="34"/>
        <v>0</v>
      </c>
      <c r="AA28" s="62">
        <f>Z28*'Baseline Inputs'!$C$260/100</f>
        <v>0</v>
      </c>
      <c r="AB28" s="62">
        <f t="shared" si="13"/>
        <v>0</v>
      </c>
      <c r="AC28" s="62">
        <f t="shared" si="35"/>
        <v>0</v>
      </c>
      <c r="AD28" s="62">
        <f>AC28*'Baseline Inputs'!$C$261/100</f>
        <v>0</v>
      </c>
      <c r="AE28" s="62">
        <f t="shared" si="14"/>
        <v>0</v>
      </c>
      <c r="AF28" s="62">
        <f t="shared" si="36"/>
        <v>0</v>
      </c>
      <c r="AG28" s="62">
        <f>AF28*'Baseline Inputs'!$C$264/100</f>
        <v>0</v>
      </c>
      <c r="AH28" s="62">
        <f t="shared" si="15"/>
        <v>0</v>
      </c>
      <c r="AI28" s="62">
        <f t="shared" si="37"/>
        <v>0</v>
      </c>
      <c r="AJ28" s="62">
        <f>AI28*'Baseline Inputs'!$C$265/100</f>
        <v>0</v>
      </c>
      <c r="AK28" s="62">
        <f t="shared" si="16"/>
        <v>0</v>
      </c>
      <c r="AL28" s="62">
        <f t="shared" si="38"/>
        <v>0</v>
      </c>
      <c r="AM28" s="62">
        <f>AL28*'Baseline Inputs'!$C$266/100</f>
        <v>0</v>
      </c>
      <c r="AN28" s="62">
        <f t="shared" si="17"/>
        <v>0</v>
      </c>
      <c r="AO28" s="62">
        <f t="shared" si="39"/>
        <v>0</v>
      </c>
      <c r="AP28" s="62">
        <f>AO28*'Baseline Inputs'!$C$267/100</f>
        <v>0</v>
      </c>
      <c r="AQ28" s="62">
        <f t="shared" si="18"/>
        <v>0</v>
      </c>
      <c r="AR28" s="62">
        <f t="shared" si="40"/>
        <v>0</v>
      </c>
      <c r="AS28" s="62">
        <f>AR28*'Baseline Inputs'!$C$268/100</f>
        <v>0</v>
      </c>
      <c r="AT28" s="62">
        <f t="shared" si="19"/>
        <v>0</v>
      </c>
      <c r="AU28" s="62">
        <f t="shared" si="41"/>
        <v>0</v>
      </c>
      <c r="AV28" s="62">
        <f>AU28*'Baseline Inputs'!$C$269/100</f>
        <v>0</v>
      </c>
      <c r="AW28" s="62">
        <f t="shared" si="20"/>
        <v>0</v>
      </c>
      <c r="AX28" s="62">
        <f t="shared" si="42"/>
        <v>0</v>
      </c>
      <c r="AY28" s="62">
        <f>AX28*'Baseline Inputs'!$C$270/100</f>
        <v>0</v>
      </c>
      <c r="AZ28" s="62">
        <f t="shared" si="21"/>
        <v>0</v>
      </c>
      <c r="BA28" s="62">
        <f t="shared" si="43"/>
        <v>0</v>
      </c>
      <c r="BB28" s="62">
        <f>BA28*'Baseline Inputs'!$C$271/100</f>
        <v>0</v>
      </c>
      <c r="BC28" s="62">
        <f t="shared" si="22"/>
        <v>0</v>
      </c>
      <c r="BD28" s="62">
        <f t="shared" si="44"/>
        <v>0</v>
      </c>
      <c r="BE28" s="62">
        <f>BD28*'Baseline Inputs'!$C$272/100</f>
        <v>0</v>
      </c>
      <c r="BF28" s="62">
        <f t="shared" si="23"/>
        <v>0</v>
      </c>
      <c r="BG28" s="62">
        <f t="shared" si="45"/>
        <v>0</v>
      </c>
      <c r="BH28" s="62">
        <f>BG28*'Baseline Inputs'!$C$273/100</f>
        <v>0</v>
      </c>
      <c r="BI28" s="62">
        <f t="shared" si="24"/>
        <v>0</v>
      </c>
      <c r="BJ28" s="62">
        <f t="shared" si="1"/>
        <v>1575.4707534973732</v>
      </c>
      <c r="BK28" s="62">
        <f t="shared" si="2"/>
        <v>18117.913665219792</v>
      </c>
      <c r="BL28" s="62">
        <f t="shared" si="46"/>
        <v>0</v>
      </c>
      <c r="BM28" s="62">
        <f t="shared" si="3"/>
        <v>18117.913665219792</v>
      </c>
      <c r="BN28" s="66">
        <f t="shared" si="47"/>
        <v>0</v>
      </c>
      <c r="BO28" s="62">
        <f t="shared" si="4"/>
        <v>0</v>
      </c>
    </row>
    <row r="29" spans="1:67" x14ac:dyDescent="0.2">
      <c r="A29" s="4">
        <f t="shared" si="5"/>
        <v>2035</v>
      </c>
      <c r="B29" s="62">
        <f t="shared" si="25"/>
        <v>0</v>
      </c>
      <c r="C29" s="62">
        <f>B29*'Baseline Inputs'!$C$252/100</f>
        <v>0</v>
      </c>
      <c r="D29" s="62">
        <f t="shared" si="26"/>
        <v>0</v>
      </c>
      <c r="E29" s="62">
        <f t="shared" si="27"/>
        <v>0</v>
      </c>
      <c r="F29" s="62">
        <f>E29*'Baseline Inputs'!$C$253/100</f>
        <v>0</v>
      </c>
      <c r="G29" s="62">
        <f t="shared" si="6"/>
        <v>0</v>
      </c>
      <c r="H29" s="62">
        <f t="shared" si="28"/>
        <v>0</v>
      </c>
      <c r="I29" s="62">
        <f>H29*'Baseline Inputs'!$C$254/100</f>
        <v>0</v>
      </c>
      <c r="J29" s="62">
        <f t="shared" si="7"/>
        <v>0</v>
      </c>
      <c r="K29" s="62">
        <f t="shared" si="29"/>
        <v>0</v>
      </c>
      <c r="L29" s="62">
        <f>K29*'Baseline Inputs'!$C$255/100</f>
        <v>0</v>
      </c>
      <c r="M29" s="62">
        <f t="shared" si="8"/>
        <v>0</v>
      </c>
      <c r="N29" s="62">
        <f t="shared" si="30"/>
        <v>4312.7337863864141</v>
      </c>
      <c r="O29" s="62">
        <f>N29*'Baseline Inputs'!$C$256/100</f>
        <v>345.01870291091313</v>
      </c>
      <c r="P29" s="62">
        <f t="shared" si="9"/>
        <v>3967.7150834755012</v>
      </c>
      <c r="Q29" s="62">
        <f t="shared" si="31"/>
        <v>3345.638238688296</v>
      </c>
      <c r="R29" s="62">
        <f>Q29*'Baseline Inputs'!$C$257/100</f>
        <v>267.65105909506366</v>
      </c>
      <c r="S29" s="62">
        <f t="shared" si="10"/>
        <v>3077.9871795932322</v>
      </c>
      <c r="T29" s="62">
        <f t="shared" si="32"/>
        <v>10459.541640145082</v>
      </c>
      <c r="U29" s="62">
        <f>T29*'Baseline Inputs'!$C$258/100</f>
        <v>836.76333121160656</v>
      </c>
      <c r="V29" s="62">
        <f t="shared" si="11"/>
        <v>9622.7783089334753</v>
      </c>
      <c r="W29" s="62">
        <f t="shared" si="33"/>
        <v>0</v>
      </c>
      <c r="X29" s="62">
        <f>W29*'Baseline Inputs'!$C$259/100</f>
        <v>0</v>
      </c>
      <c r="Y29" s="62">
        <f t="shared" si="12"/>
        <v>0</v>
      </c>
      <c r="Z29" s="62">
        <f t="shared" si="34"/>
        <v>0</v>
      </c>
      <c r="AA29" s="62">
        <f>Z29*'Baseline Inputs'!$C$260/100</f>
        <v>0</v>
      </c>
      <c r="AB29" s="62">
        <f t="shared" si="13"/>
        <v>0</v>
      </c>
      <c r="AC29" s="62">
        <f t="shared" si="35"/>
        <v>0</v>
      </c>
      <c r="AD29" s="62">
        <f>AC29*'Baseline Inputs'!$C$261/100</f>
        <v>0</v>
      </c>
      <c r="AE29" s="62">
        <f t="shared" si="14"/>
        <v>0</v>
      </c>
      <c r="AF29" s="62">
        <f t="shared" si="36"/>
        <v>0</v>
      </c>
      <c r="AG29" s="62">
        <f>AF29*'Baseline Inputs'!$C$264/100</f>
        <v>0</v>
      </c>
      <c r="AH29" s="62">
        <f t="shared" si="15"/>
        <v>0</v>
      </c>
      <c r="AI29" s="62">
        <f t="shared" si="37"/>
        <v>0</v>
      </c>
      <c r="AJ29" s="62">
        <f>AI29*'Baseline Inputs'!$C$265/100</f>
        <v>0</v>
      </c>
      <c r="AK29" s="62">
        <f t="shared" si="16"/>
        <v>0</v>
      </c>
      <c r="AL29" s="62">
        <f t="shared" si="38"/>
        <v>0</v>
      </c>
      <c r="AM29" s="62">
        <f>AL29*'Baseline Inputs'!$C$266/100</f>
        <v>0</v>
      </c>
      <c r="AN29" s="62">
        <f t="shared" si="17"/>
        <v>0</v>
      </c>
      <c r="AO29" s="62">
        <f t="shared" si="39"/>
        <v>0</v>
      </c>
      <c r="AP29" s="62">
        <f>AO29*'Baseline Inputs'!$C$267/100</f>
        <v>0</v>
      </c>
      <c r="AQ29" s="62">
        <f t="shared" si="18"/>
        <v>0</v>
      </c>
      <c r="AR29" s="62">
        <f t="shared" si="40"/>
        <v>0</v>
      </c>
      <c r="AS29" s="62">
        <f>AR29*'Baseline Inputs'!$C$268/100</f>
        <v>0</v>
      </c>
      <c r="AT29" s="62">
        <f t="shared" si="19"/>
        <v>0</v>
      </c>
      <c r="AU29" s="62">
        <f t="shared" si="41"/>
        <v>0</v>
      </c>
      <c r="AV29" s="62">
        <f>AU29*'Baseline Inputs'!$C$269/100</f>
        <v>0</v>
      </c>
      <c r="AW29" s="62">
        <f t="shared" si="20"/>
        <v>0</v>
      </c>
      <c r="AX29" s="62">
        <f t="shared" si="42"/>
        <v>0</v>
      </c>
      <c r="AY29" s="62">
        <f>AX29*'Baseline Inputs'!$C$270/100</f>
        <v>0</v>
      </c>
      <c r="AZ29" s="62">
        <f t="shared" si="21"/>
        <v>0</v>
      </c>
      <c r="BA29" s="62">
        <f t="shared" si="43"/>
        <v>0</v>
      </c>
      <c r="BB29" s="62">
        <f>BA29*'Baseline Inputs'!$C$271/100</f>
        <v>0</v>
      </c>
      <c r="BC29" s="62">
        <f t="shared" si="22"/>
        <v>0</v>
      </c>
      <c r="BD29" s="62">
        <f t="shared" si="44"/>
        <v>0</v>
      </c>
      <c r="BE29" s="62">
        <f>BD29*'Baseline Inputs'!$C$272/100</f>
        <v>0</v>
      </c>
      <c r="BF29" s="62">
        <f t="shared" si="23"/>
        <v>0</v>
      </c>
      <c r="BG29" s="62">
        <f t="shared" si="45"/>
        <v>0</v>
      </c>
      <c r="BH29" s="62">
        <f>BG29*'Baseline Inputs'!$C$273/100</f>
        <v>0</v>
      </c>
      <c r="BI29" s="62">
        <f t="shared" si="24"/>
        <v>0</v>
      </c>
      <c r="BJ29" s="62">
        <f t="shared" si="1"/>
        <v>1449.4330932175833</v>
      </c>
      <c r="BK29" s="62">
        <f t="shared" si="2"/>
        <v>16668.480572002209</v>
      </c>
      <c r="BL29" s="62">
        <f t="shared" si="46"/>
        <v>0</v>
      </c>
      <c r="BM29" s="62">
        <f t="shared" si="3"/>
        <v>16668.480572002209</v>
      </c>
      <c r="BN29" s="66">
        <f t="shared" si="47"/>
        <v>0</v>
      </c>
      <c r="BO29" s="62">
        <f t="shared" si="4"/>
        <v>0</v>
      </c>
    </row>
    <row r="30" spans="1:67" x14ac:dyDescent="0.2">
      <c r="A30" s="4">
        <f t="shared" si="5"/>
        <v>2036</v>
      </c>
      <c r="B30" s="62">
        <f t="shared" si="25"/>
        <v>0</v>
      </c>
      <c r="C30" s="62">
        <f>B30*'Baseline Inputs'!$C$252/100</f>
        <v>0</v>
      </c>
      <c r="D30" s="62">
        <f t="shared" si="26"/>
        <v>0</v>
      </c>
      <c r="E30" s="62">
        <f t="shared" si="27"/>
        <v>0</v>
      </c>
      <c r="F30" s="62">
        <f>E30*'Baseline Inputs'!$C$253/100</f>
        <v>0</v>
      </c>
      <c r="G30" s="62">
        <f t="shared" si="6"/>
        <v>0</v>
      </c>
      <c r="H30" s="62">
        <f t="shared" si="28"/>
        <v>0</v>
      </c>
      <c r="I30" s="62">
        <f>H30*'Baseline Inputs'!$C$254/100</f>
        <v>0</v>
      </c>
      <c r="J30" s="62">
        <f t="shared" si="7"/>
        <v>0</v>
      </c>
      <c r="K30" s="62">
        <f t="shared" si="29"/>
        <v>0</v>
      </c>
      <c r="L30" s="62">
        <f>K30*'Baseline Inputs'!$C$255/100</f>
        <v>0</v>
      </c>
      <c r="M30" s="62">
        <f t="shared" si="8"/>
        <v>0</v>
      </c>
      <c r="N30" s="62">
        <f t="shared" si="30"/>
        <v>3967.7150834755012</v>
      </c>
      <c r="O30" s="62">
        <f>N30*'Baseline Inputs'!$C$256/100</f>
        <v>317.41720667804009</v>
      </c>
      <c r="P30" s="62">
        <f t="shared" si="9"/>
        <v>3650.297876797461</v>
      </c>
      <c r="Q30" s="62">
        <f t="shared" si="31"/>
        <v>3077.9871795932322</v>
      </c>
      <c r="R30" s="62">
        <f>Q30*'Baseline Inputs'!$C$257/100</f>
        <v>246.23897436745858</v>
      </c>
      <c r="S30" s="62">
        <f t="shared" si="10"/>
        <v>2831.7482052257737</v>
      </c>
      <c r="T30" s="62">
        <f t="shared" si="32"/>
        <v>9622.7783089334753</v>
      </c>
      <c r="U30" s="62">
        <f>T30*'Baseline Inputs'!$C$258/100</f>
        <v>769.822264714678</v>
      </c>
      <c r="V30" s="62">
        <f t="shared" si="11"/>
        <v>8852.9560442187976</v>
      </c>
      <c r="W30" s="62">
        <f t="shared" si="33"/>
        <v>0</v>
      </c>
      <c r="X30" s="62">
        <f>W30*'Baseline Inputs'!$C$259/100</f>
        <v>0</v>
      </c>
      <c r="Y30" s="62">
        <f t="shared" si="12"/>
        <v>0</v>
      </c>
      <c r="Z30" s="62">
        <f t="shared" si="34"/>
        <v>0</v>
      </c>
      <c r="AA30" s="62">
        <f>Z30*'Baseline Inputs'!$C$260/100</f>
        <v>0</v>
      </c>
      <c r="AB30" s="62">
        <f t="shared" si="13"/>
        <v>0</v>
      </c>
      <c r="AC30" s="62">
        <f t="shared" si="35"/>
        <v>0</v>
      </c>
      <c r="AD30" s="62">
        <f>AC30*'Baseline Inputs'!$C$261/100</f>
        <v>0</v>
      </c>
      <c r="AE30" s="62">
        <f t="shared" si="14"/>
        <v>0</v>
      </c>
      <c r="AF30" s="62">
        <f t="shared" si="36"/>
        <v>0</v>
      </c>
      <c r="AG30" s="62">
        <f>AF30*'Baseline Inputs'!$C$264/100</f>
        <v>0</v>
      </c>
      <c r="AH30" s="62">
        <f t="shared" si="15"/>
        <v>0</v>
      </c>
      <c r="AI30" s="62">
        <f t="shared" si="37"/>
        <v>0</v>
      </c>
      <c r="AJ30" s="62">
        <f>AI30*'Baseline Inputs'!$C$265/100</f>
        <v>0</v>
      </c>
      <c r="AK30" s="62">
        <f t="shared" si="16"/>
        <v>0</v>
      </c>
      <c r="AL30" s="62">
        <f t="shared" si="38"/>
        <v>0</v>
      </c>
      <c r="AM30" s="62">
        <f>AL30*'Baseline Inputs'!$C$266/100</f>
        <v>0</v>
      </c>
      <c r="AN30" s="62">
        <f t="shared" si="17"/>
        <v>0</v>
      </c>
      <c r="AO30" s="62">
        <f t="shared" si="39"/>
        <v>0</v>
      </c>
      <c r="AP30" s="62">
        <f>AO30*'Baseline Inputs'!$C$267/100</f>
        <v>0</v>
      </c>
      <c r="AQ30" s="62">
        <f t="shared" si="18"/>
        <v>0</v>
      </c>
      <c r="AR30" s="62">
        <f t="shared" si="40"/>
        <v>0</v>
      </c>
      <c r="AS30" s="62">
        <f>AR30*'Baseline Inputs'!$C$268/100</f>
        <v>0</v>
      </c>
      <c r="AT30" s="62">
        <f t="shared" si="19"/>
        <v>0</v>
      </c>
      <c r="AU30" s="62">
        <f t="shared" si="41"/>
        <v>0</v>
      </c>
      <c r="AV30" s="62">
        <f>AU30*'Baseline Inputs'!$C$269/100</f>
        <v>0</v>
      </c>
      <c r="AW30" s="62">
        <f t="shared" si="20"/>
        <v>0</v>
      </c>
      <c r="AX30" s="62">
        <f t="shared" si="42"/>
        <v>0</v>
      </c>
      <c r="AY30" s="62">
        <f>AX30*'Baseline Inputs'!$C$270/100</f>
        <v>0</v>
      </c>
      <c r="AZ30" s="62">
        <f t="shared" si="21"/>
        <v>0</v>
      </c>
      <c r="BA30" s="62">
        <f t="shared" si="43"/>
        <v>0</v>
      </c>
      <c r="BB30" s="62">
        <f>BA30*'Baseline Inputs'!$C$271/100</f>
        <v>0</v>
      </c>
      <c r="BC30" s="62">
        <f t="shared" si="22"/>
        <v>0</v>
      </c>
      <c r="BD30" s="62">
        <f t="shared" si="44"/>
        <v>0</v>
      </c>
      <c r="BE30" s="62">
        <f>BD30*'Baseline Inputs'!$C$272/100</f>
        <v>0</v>
      </c>
      <c r="BF30" s="62">
        <f t="shared" si="23"/>
        <v>0</v>
      </c>
      <c r="BG30" s="62">
        <f t="shared" si="45"/>
        <v>0</v>
      </c>
      <c r="BH30" s="62">
        <f>BG30*'Baseline Inputs'!$C$273/100</f>
        <v>0</v>
      </c>
      <c r="BI30" s="62">
        <f t="shared" si="24"/>
        <v>0</v>
      </c>
      <c r="BJ30" s="62">
        <f t="shared" si="1"/>
        <v>1333.4784457601768</v>
      </c>
      <c r="BK30" s="62">
        <f t="shared" si="2"/>
        <v>15335.002126242032</v>
      </c>
      <c r="BL30" s="62">
        <f t="shared" si="46"/>
        <v>0</v>
      </c>
      <c r="BM30" s="62">
        <f t="shared" si="3"/>
        <v>15335.002126242032</v>
      </c>
      <c r="BN30" s="66">
        <f t="shared" si="47"/>
        <v>0</v>
      </c>
      <c r="BO30" s="62">
        <f t="shared" si="4"/>
        <v>0</v>
      </c>
    </row>
    <row r="31" spans="1:67" x14ac:dyDescent="0.2">
      <c r="A31" s="4">
        <f t="shared" si="5"/>
        <v>2037</v>
      </c>
      <c r="B31" s="62">
        <f t="shared" si="25"/>
        <v>0</v>
      </c>
      <c r="C31" s="62">
        <f>B31*'Baseline Inputs'!$C$252/100</f>
        <v>0</v>
      </c>
      <c r="D31" s="62">
        <f t="shared" si="26"/>
        <v>0</v>
      </c>
      <c r="E31" s="62">
        <f t="shared" si="27"/>
        <v>0</v>
      </c>
      <c r="F31" s="62">
        <f>E31*'Baseline Inputs'!$C$253/100</f>
        <v>0</v>
      </c>
      <c r="G31" s="62">
        <f t="shared" si="6"/>
        <v>0</v>
      </c>
      <c r="H31" s="62">
        <f t="shared" si="28"/>
        <v>0</v>
      </c>
      <c r="I31" s="62">
        <f>H31*'Baseline Inputs'!$C$254/100</f>
        <v>0</v>
      </c>
      <c r="J31" s="62">
        <f t="shared" si="7"/>
        <v>0</v>
      </c>
      <c r="K31" s="62">
        <f t="shared" si="29"/>
        <v>0</v>
      </c>
      <c r="L31" s="62">
        <f>K31*'Baseline Inputs'!$C$255/100</f>
        <v>0</v>
      </c>
      <c r="M31" s="62">
        <f t="shared" si="8"/>
        <v>0</v>
      </c>
      <c r="N31" s="62">
        <f t="shared" si="30"/>
        <v>3650.297876797461</v>
      </c>
      <c r="O31" s="62">
        <f>N31*'Baseline Inputs'!$C$256/100</f>
        <v>292.02383014379689</v>
      </c>
      <c r="P31" s="62">
        <f t="shared" si="9"/>
        <v>3358.2740466536643</v>
      </c>
      <c r="Q31" s="62">
        <f t="shared" si="31"/>
        <v>2831.7482052257737</v>
      </c>
      <c r="R31" s="62">
        <f>Q31*'Baseline Inputs'!$C$257/100</f>
        <v>226.5398564180619</v>
      </c>
      <c r="S31" s="62">
        <f t="shared" si="10"/>
        <v>2605.2083488077119</v>
      </c>
      <c r="T31" s="62">
        <f t="shared" si="32"/>
        <v>8852.9560442187976</v>
      </c>
      <c r="U31" s="62">
        <f>T31*'Baseline Inputs'!$C$258/100</f>
        <v>708.23648353750377</v>
      </c>
      <c r="V31" s="62">
        <f t="shared" si="11"/>
        <v>8144.7195606812938</v>
      </c>
      <c r="W31" s="62">
        <f t="shared" si="33"/>
        <v>0</v>
      </c>
      <c r="X31" s="62">
        <f>W31*'Baseline Inputs'!$C$259/100</f>
        <v>0</v>
      </c>
      <c r="Y31" s="62">
        <f t="shared" si="12"/>
        <v>0</v>
      </c>
      <c r="Z31" s="62">
        <f t="shared" si="34"/>
        <v>0</v>
      </c>
      <c r="AA31" s="62">
        <f>Z31*'Baseline Inputs'!$C$260/100</f>
        <v>0</v>
      </c>
      <c r="AB31" s="62">
        <f t="shared" si="13"/>
        <v>0</v>
      </c>
      <c r="AC31" s="62">
        <f t="shared" si="35"/>
        <v>0</v>
      </c>
      <c r="AD31" s="62">
        <f>AC31*'Baseline Inputs'!$C$261/100</f>
        <v>0</v>
      </c>
      <c r="AE31" s="62">
        <f t="shared" si="14"/>
        <v>0</v>
      </c>
      <c r="AF31" s="62">
        <f t="shared" si="36"/>
        <v>0</v>
      </c>
      <c r="AG31" s="62">
        <f>AF31*'Baseline Inputs'!$C$264/100</f>
        <v>0</v>
      </c>
      <c r="AH31" s="62">
        <f t="shared" si="15"/>
        <v>0</v>
      </c>
      <c r="AI31" s="62">
        <f t="shared" si="37"/>
        <v>0</v>
      </c>
      <c r="AJ31" s="62">
        <f>AI31*'Baseline Inputs'!$C$265/100</f>
        <v>0</v>
      </c>
      <c r="AK31" s="62">
        <f t="shared" si="16"/>
        <v>0</v>
      </c>
      <c r="AL31" s="62">
        <f t="shared" si="38"/>
        <v>0</v>
      </c>
      <c r="AM31" s="62">
        <f>AL31*'Baseline Inputs'!$C$266/100</f>
        <v>0</v>
      </c>
      <c r="AN31" s="62">
        <f t="shared" si="17"/>
        <v>0</v>
      </c>
      <c r="AO31" s="62">
        <f t="shared" si="39"/>
        <v>0</v>
      </c>
      <c r="AP31" s="62">
        <f>AO31*'Baseline Inputs'!$C$267/100</f>
        <v>0</v>
      </c>
      <c r="AQ31" s="62">
        <f t="shared" si="18"/>
        <v>0</v>
      </c>
      <c r="AR31" s="62">
        <f t="shared" si="40"/>
        <v>0</v>
      </c>
      <c r="AS31" s="62">
        <f>AR31*'Baseline Inputs'!$C$268/100</f>
        <v>0</v>
      </c>
      <c r="AT31" s="62">
        <f t="shared" si="19"/>
        <v>0</v>
      </c>
      <c r="AU31" s="62">
        <f t="shared" si="41"/>
        <v>0</v>
      </c>
      <c r="AV31" s="62">
        <f>AU31*'Baseline Inputs'!$C$269/100</f>
        <v>0</v>
      </c>
      <c r="AW31" s="62">
        <f t="shared" si="20"/>
        <v>0</v>
      </c>
      <c r="AX31" s="62">
        <f t="shared" si="42"/>
        <v>0</v>
      </c>
      <c r="AY31" s="62">
        <f>AX31*'Baseline Inputs'!$C$270/100</f>
        <v>0</v>
      </c>
      <c r="AZ31" s="62">
        <f t="shared" si="21"/>
        <v>0</v>
      </c>
      <c r="BA31" s="62">
        <f t="shared" si="43"/>
        <v>0</v>
      </c>
      <c r="BB31" s="62">
        <f>BA31*'Baseline Inputs'!$C$271/100</f>
        <v>0</v>
      </c>
      <c r="BC31" s="62">
        <f t="shared" si="22"/>
        <v>0</v>
      </c>
      <c r="BD31" s="62">
        <f t="shared" si="44"/>
        <v>0</v>
      </c>
      <c r="BE31" s="62">
        <f>BD31*'Baseline Inputs'!$C$272/100</f>
        <v>0</v>
      </c>
      <c r="BF31" s="62">
        <f t="shared" si="23"/>
        <v>0</v>
      </c>
      <c r="BG31" s="62">
        <f t="shared" si="45"/>
        <v>0</v>
      </c>
      <c r="BH31" s="62">
        <f>BG31*'Baseline Inputs'!$C$273/100</f>
        <v>0</v>
      </c>
      <c r="BI31" s="62">
        <f t="shared" si="24"/>
        <v>0</v>
      </c>
      <c r="BJ31" s="62">
        <f t="shared" si="1"/>
        <v>1226.8001700993625</v>
      </c>
      <c r="BK31" s="62">
        <f t="shared" si="2"/>
        <v>14108.201956142671</v>
      </c>
      <c r="BL31" s="62">
        <f t="shared" si="46"/>
        <v>0</v>
      </c>
      <c r="BM31" s="62">
        <f t="shared" si="3"/>
        <v>14108.201956142671</v>
      </c>
      <c r="BN31" s="66">
        <f t="shared" si="47"/>
        <v>0</v>
      </c>
      <c r="BO31" s="62">
        <f t="shared" si="4"/>
        <v>0</v>
      </c>
    </row>
    <row r="32" spans="1:67" x14ac:dyDescent="0.2">
      <c r="A32" s="4">
        <f t="shared" si="5"/>
        <v>2038</v>
      </c>
      <c r="B32" s="62">
        <f t="shared" si="25"/>
        <v>0</v>
      </c>
      <c r="C32" s="62">
        <f>B32*'Baseline Inputs'!$C$252/100</f>
        <v>0</v>
      </c>
      <c r="D32" s="62">
        <f t="shared" si="26"/>
        <v>0</v>
      </c>
      <c r="E32" s="62">
        <f t="shared" si="27"/>
        <v>0</v>
      </c>
      <c r="F32" s="62">
        <f>E32*'Baseline Inputs'!$C$253/100</f>
        <v>0</v>
      </c>
      <c r="G32" s="62">
        <f t="shared" si="6"/>
        <v>0</v>
      </c>
      <c r="H32" s="62">
        <f t="shared" si="28"/>
        <v>0</v>
      </c>
      <c r="I32" s="62">
        <f>H32*'Baseline Inputs'!$C$254/100</f>
        <v>0</v>
      </c>
      <c r="J32" s="62">
        <f t="shared" si="7"/>
        <v>0</v>
      </c>
      <c r="K32" s="62">
        <f t="shared" si="29"/>
        <v>0</v>
      </c>
      <c r="L32" s="62">
        <f>K32*'Baseline Inputs'!$C$255/100</f>
        <v>0</v>
      </c>
      <c r="M32" s="62">
        <f t="shared" si="8"/>
        <v>0</v>
      </c>
      <c r="N32" s="62">
        <f t="shared" si="30"/>
        <v>3358.2740466536643</v>
      </c>
      <c r="O32" s="62">
        <f>N32*'Baseline Inputs'!$C$256/100</f>
        <v>268.66192373229313</v>
      </c>
      <c r="P32" s="62">
        <f t="shared" si="9"/>
        <v>3089.6121229213713</v>
      </c>
      <c r="Q32" s="62">
        <f t="shared" si="31"/>
        <v>2605.2083488077119</v>
      </c>
      <c r="R32" s="62">
        <f>Q32*'Baseline Inputs'!$C$257/100</f>
        <v>208.41666790461696</v>
      </c>
      <c r="S32" s="62">
        <f t="shared" si="10"/>
        <v>2396.7916809030949</v>
      </c>
      <c r="T32" s="62">
        <f t="shared" si="32"/>
        <v>8144.7195606812938</v>
      </c>
      <c r="U32" s="62">
        <f>T32*'Baseline Inputs'!$C$258/100</f>
        <v>651.57756485450352</v>
      </c>
      <c r="V32" s="62">
        <f t="shared" si="11"/>
        <v>7493.1419958267907</v>
      </c>
      <c r="W32" s="62">
        <f t="shared" si="33"/>
        <v>0</v>
      </c>
      <c r="X32" s="62">
        <f>W32*'Baseline Inputs'!$C$259/100</f>
        <v>0</v>
      </c>
      <c r="Y32" s="62">
        <f t="shared" si="12"/>
        <v>0</v>
      </c>
      <c r="Z32" s="62">
        <f t="shared" si="34"/>
        <v>0</v>
      </c>
      <c r="AA32" s="62">
        <f>Z32*'Baseline Inputs'!$C$260/100</f>
        <v>0</v>
      </c>
      <c r="AB32" s="62">
        <f t="shared" si="13"/>
        <v>0</v>
      </c>
      <c r="AC32" s="62">
        <f t="shared" si="35"/>
        <v>0</v>
      </c>
      <c r="AD32" s="62">
        <f>AC32*'Baseline Inputs'!$C$261/100</f>
        <v>0</v>
      </c>
      <c r="AE32" s="62">
        <f t="shared" si="14"/>
        <v>0</v>
      </c>
      <c r="AF32" s="62">
        <f t="shared" si="36"/>
        <v>0</v>
      </c>
      <c r="AG32" s="62">
        <f>AF32*'Baseline Inputs'!$C$264/100</f>
        <v>0</v>
      </c>
      <c r="AH32" s="62">
        <f t="shared" si="15"/>
        <v>0</v>
      </c>
      <c r="AI32" s="62">
        <f t="shared" si="37"/>
        <v>0</v>
      </c>
      <c r="AJ32" s="62">
        <f>AI32*'Baseline Inputs'!$C$265/100</f>
        <v>0</v>
      </c>
      <c r="AK32" s="62">
        <f t="shared" si="16"/>
        <v>0</v>
      </c>
      <c r="AL32" s="62">
        <f t="shared" si="38"/>
        <v>0</v>
      </c>
      <c r="AM32" s="62">
        <f>AL32*'Baseline Inputs'!$C$266/100</f>
        <v>0</v>
      </c>
      <c r="AN32" s="62">
        <f t="shared" si="17"/>
        <v>0</v>
      </c>
      <c r="AO32" s="62">
        <f t="shared" si="39"/>
        <v>0</v>
      </c>
      <c r="AP32" s="62">
        <f>AO32*'Baseline Inputs'!$C$267/100</f>
        <v>0</v>
      </c>
      <c r="AQ32" s="62">
        <f t="shared" si="18"/>
        <v>0</v>
      </c>
      <c r="AR32" s="62">
        <f t="shared" si="40"/>
        <v>0</v>
      </c>
      <c r="AS32" s="62">
        <f>AR32*'Baseline Inputs'!$C$268/100</f>
        <v>0</v>
      </c>
      <c r="AT32" s="62">
        <f t="shared" si="19"/>
        <v>0</v>
      </c>
      <c r="AU32" s="62">
        <f t="shared" si="41"/>
        <v>0</v>
      </c>
      <c r="AV32" s="62">
        <f>AU32*'Baseline Inputs'!$C$269/100</f>
        <v>0</v>
      </c>
      <c r="AW32" s="62">
        <f t="shared" si="20"/>
        <v>0</v>
      </c>
      <c r="AX32" s="62">
        <f t="shared" si="42"/>
        <v>0</v>
      </c>
      <c r="AY32" s="62">
        <f>AX32*'Baseline Inputs'!$C$270/100</f>
        <v>0</v>
      </c>
      <c r="AZ32" s="62">
        <f t="shared" si="21"/>
        <v>0</v>
      </c>
      <c r="BA32" s="62">
        <f t="shared" si="43"/>
        <v>0</v>
      </c>
      <c r="BB32" s="62">
        <f>BA32*'Baseline Inputs'!$C$271/100</f>
        <v>0</v>
      </c>
      <c r="BC32" s="62">
        <f t="shared" si="22"/>
        <v>0</v>
      </c>
      <c r="BD32" s="62">
        <f t="shared" si="44"/>
        <v>0</v>
      </c>
      <c r="BE32" s="62">
        <f>BD32*'Baseline Inputs'!$C$272/100</f>
        <v>0</v>
      </c>
      <c r="BF32" s="62">
        <f t="shared" si="23"/>
        <v>0</v>
      </c>
      <c r="BG32" s="62">
        <f t="shared" si="45"/>
        <v>0</v>
      </c>
      <c r="BH32" s="62">
        <f>BG32*'Baseline Inputs'!$C$273/100</f>
        <v>0</v>
      </c>
      <c r="BI32" s="62">
        <f t="shared" si="24"/>
        <v>0</v>
      </c>
      <c r="BJ32" s="62">
        <f t="shared" si="1"/>
        <v>1128.6561564914136</v>
      </c>
      <c r="BK32" s="62">
        <f t="shared" si="2"/>
        <v>12979.545799651256</v>
      </c>
      <c r="BL32" s="62">
        <f t="shared" si="46"/>
        <v>0</v>
      </c>
      <c r="BM32" s="62">
        <f t="shared" si="3"/>
        <v>12979.545799651256</v>
      </c>
      <c r="BN32" s="66">
        <f t="shared" si="47"/>
        <v>0</v>
      </c>
      <c r="BO32" s="62">
        <f t="shared" si="4"/>
        <v>0</v>
      </c>
    </row>
    <row r="33" spans="1:67" x14ac:dyDescent="0.2">
      <c r="A33" s="4">
        <f t="shared" si="5"/>
        <v>2039</v>
      </c>
      <c r="B33" s="62">
        <f t="shared" si="25"/>
        <v>0</v>
      </c>
      <c r="C33" s="62">
        <f>B33*'Baseline Inputs'!$C$252/100</f>
        <v>0</v>
      </c>
      <c r="D33" s="62">
        <f t="shared" si="26"/>
        <v>0</v>
      </c>
      <c r="E33" s="62">
        <f t="shared" si="27"/>
        <v>0</v>
      </c>
      <c r="F33" s="62">
        <f>E33*'Baseline Inputs'!$C$253/100</f>
        <v>0</v>
      </c>
      <c r="G33" s="62">
        <f t="shared" si="6"/>
        <v>0</v>
      </c>
      <c r="H33" s="62">
        <f t="shared" si="28"/>
        <v>0</v>
      </c>
      <c r="I33" s="62">
        <f>H33*'Baseline Inputs'!$C$254/100</f>
        <v>0</v>
      </c>
      <c r="J33" s="62">
        <f t="shared" si="7"/>
        <v>0</v>
      </c>
      <c r="K33" s="62">
        <f t="shared" si="29"/>
        <v>0</v>
      </c>
      <c r="L33" s="62">
        <f>K33*'Baseline Inputs'!$C$255/100</f>
        <v>0</v>
      </c>
      <c r="M33" s="62">
        <f t="shared" si="8"/>
        <v>0</v>
      </c>
      <c r="N33" s="62">
        <f t="shared" si="30"/>
        <v>3089.6121229213713</v>
      </c>
      <c r="O33" s="62">
        <f>N33*'Baseline Inputs'!$C$256/100</f>
        <v>247.1689698337097</v>
      </c>
      <c r="P33" s="62">
        <f t="shared" si="9"/>
        <v>2842.4431530876618</v>
      </c>
      <c r="Q33" s="62">
        <f t="shared" si="31"/>
        <v>2396.7916809030949</v>
      </c>
      <c r="R33" s="62">
        <f>Q33*'Baseline Inputs'!$C$257/100</f>
        <v>191.7433344722476</v>
      </c>
      <c r="S33" s="62">
        <f t="shared" si="10"/>
        <v>2205.0483464308472</v>
      </c>
      <c r="T33" s="62">
        <f t="shared" si="32"/>
        <v>7493.1419958267907</v>
      </c>
      <c r="U33" s="62">
        <f>T33*'Baseline Inputs'!$C$258/100</f>
        <v>599.45135966614328</v>
      </c>
      <c r="V33" s="62">
        <f t="shared" si="11"/>
        <v>6893.690636160647</v>
      </c>
      <c r="W33" s="62">
        <f t="shared" si="33"/>
        <v>0</v>
      </c>
      <c r="X33" s="62">
        <f>W33*'Baseline Inputs'!$C$259/100</f>
        <v>0</v>
      </c>
      <c r="Y33" s="62">
        <f t="shared" si="12"/>
        <v>0</v>
      </c>
      <c r="Z33" s="62">
        <f t="shared" si="34"/>
        <v>0</v>
      </c>
      <c r="AA33" s="62">
        <f>Z33*'Baseline Inputs'!$C$260/100</f>
        <v>0</v>
      </c>
      <c r="AB33" s="62">
        <f t="shared" si="13"/>
        <v>0</v>
      </c>
      <c r="AC33" s="62">
        <f t="shared" si="35"/>
        <v>0</v>
      </c>
      <c r="AD33" s="62">
        <f>AC33*'Baseline Inputs'!$C$261/100</f>
        <v>0</v>
      </c>
      <c r="AE33" s="62">
        <f t="shared" si="14"/>
        <v>0</v>
      </c>
      <c r="AF33" s="62">
        <f t="shared" si="36"/>
        <v>0</v>
      </c>
      <c r="AG33" s="62">
        <f>AF33*'Baseline Inputs'!$C$264/100</f>
        <v>0</v>
      </c>
      <c r="AH33" s="62">
        <f t="shared" si="15"/>
        <v>0</v>
      </c>
      <c r="AI33" s="62">
        <f t="shared" si="37"/>
        <v>0</v>
      </c>
      <c r="AJ33" s="62">
        <f>AI33*'Baseline Inputs'!$C$265/100</f>
        <v>0</v>
      </c>
      <c r="AK33" s="62">
        <f t="shared" si="16"/>
        <v>0</v>
      </c>
      <c r="AL33" s="62">
        <f t="shared" si="38"/>
        <v>0</v>
      </c>
      <c r="AM33" s="62">
        <f>AL33*'Baseline Inputs'!$C$266/100</f>
        <v>0</v>
      </c>
      <c r="AN33" s="62">
        <f t="shared" si="17"/>
        <v>0</v>
      </c>
      <c r="AO33" s="62">
        <f t="shared" si="39"/>
        <v>0</v>
      </c>
      <c r="AP33" s="62">
        <f>AO33*'Baseline Inputs'!$C$267/100</f>
        <v>0</v>
      </c>
      <c r="AQ33" s="62">
        <f t="shared" si="18"/>
        <v>0</v>
      </c>
      <c r="AR33" s="62">
        <f t="shared" si="40"/>
        <v>0</v>
      </c>
      <c r="AS33" s="62">
        <f>AR33*'Baseline Inputs'!$C$268/100</f>
        <v>0</v>
      </c>
      <c r="AT33" s="62">
        <f t="shared" si="19"/>
        <v>0</v>
      </c>
      <c r="AU33" s="62">
        <f t="shared" si="41"/>
        <v>0</v>
      </c>
      <c r="AV33" s="62">
        <f>AU33*'Baseline Inputs'!$C$269/100</f>
        <v>0</v>
      </c>
      <c r="AW33" s="62">
        <f t="shared" si="20"/>
        <v>0</v>
      </c>
      <c r="AX33" s="62">
        <f t="shared" si="42"/>
        <v>0</v>
      </c>
      <c r="AY33" s="62">
        <f>AX33*'Baseline Inputs'!$C$270/100</f>
        <v>0</v>
      </c>
      <c r="AZ33" s="62">
        <f t="shared" si="21"/>
        <v>0</v>
      </c>
      <c r="BA33" s="62">
        <f t="shared" si="43"/>
        <v>0</v>
      </c>
      <c r="BB33" s="62">
        <f>BA33*'Baseline Inputs'!$C$271/100</f>
        <v>0</v>
      </c>
      <c r="BC33" s="62">
        <f t="shared" si="22"/>
        <v>0</v>
      </c>
      <c r="BD33" s="62">
        <f t="shared" si="44"/>
        <v>0</v>
      </c>
      <c r="BE33" s="62">
        <f>BD33*'Baseline Inputs'!$C$272/100</f>
        <v>0</v>
      </c>
      <c r="BF33" s="62">
        <f t="shared" si="23"/>
        <v>0</v>
      </c>
      <c r="BG33" s="62">
        <f t="shared" si="45"/>
        <v>0</v>
      </c>
      <c r="BH33" s="62">
        <f>BG33*'Baseline Inputs'!$C$273/100</f>
        <v>0</v>
      </c>
      <c r="BI33" s="62">
        <f t="shared" si="24"/>
        <v>0</v>
      </c>
      <c r="BJ33" s="62">
        <f t="shared" si="1"/>
        <v>1038.3636639721005</v>
      </c>
      <c r="BK33" s="62">
        <f t="shared" si="2"/>
        <v>11941.182135679155</v>
      </c>
      <c r="BL33" s="62">
        <f t="shared" si="46"/>
        <v>0</v>
      </c>
      <c r="BM33" s="62">
        <f t="shared" si="3"/>
        <v>11941.182135679155</v>
      </c>
      <c r="BN33" s="66">
        <f t="shared" si="47"/>
        <v>0</v>
      </c>
      <c r="BO33" s="62">
        <f t="shared" si="4"/>
        <v>0</v>
      </c>
    </row>
    <row r="34" spans="1:67" x14ac:dyDescent="0.2">
      <c r="A34" s="4">
        <f t="shared" si="5"/>
        <v>2040</v>
      </c>
      <c r="B34" s="62">
        <f t="shared" si="25"/>
        <v>0</v>
      </c>
      <c r="C34" s="62">
        <f>B34*'Baseline Inputs'!$C$252/100</f>
        <v>0</v>
      </c>
      <c r="D34" s="62">
        <f t="shared" si="26"/>
        <v>0</v>
      </c>
      <c r="E34" s="62">
        <f t="shared" si="27"/>
        <v>0</v>
      </c>
      <c r="F34" s="62">
        <f>E34*'Baseline Inputs'!$C$253/100</f>
        <v>0</v>
      </c>
      <c r="G34" s="62">
        <f t="shared" si="6"/>
        <v>0</v>
      </c>
      <c r="H34" s="62">
        <f t="shared" si="28"/>
        <v>0</v>
      </c>
      <c r="I34" s="62">
        <f>H34*'Baseline Inputs'!$C$254/100</f>
        <v>0</v>
      </c>
      <c r="J34" s="62">
        <f t="shared" si="7"/>
        <v>0</v>
      </c>
      <c r="K34" s="62">
        <f t="shared" si="29"/>
        <v>0</v>
      </c>
      <c r="L34" s="62">
        <f>K34*'Baseline Inputs'!$C$255/100</f>
        <v>0</v>
      </c>
      <c r="M34" s="62">
        <f t="shared" si="8"/>
        <v>0</v>
      </c>
      <c r="N34" s="62">
        <f t="shared" si="30"/>
        <v>2842.4431530876618</v>
      </c>
      <c r="O34" s="62">
        <f>N34*'Baseline Inputs'!$C$256/100</f>
        <v>227.39545224701294</v>
      </c>
      <c r="P34" s="62">
        <f t="shared" si="9"/>
        <v>2615.0477008406488</v>
      </c>
      <c r="Q34" s="62">
        <f t="shared" si="31"/>
        <v>2205.0483464308472</v>
      </c>
      <c r="R34" s="62">
        <f>Q34*'Baseline Inputs'!$C$257/100</f>
        <v>176.40386771446776</v>
      </c>
      <c r="S34" s="62">
        <f t="shared" si="10"/>
        <v>2028.6444787163796</v>
      </c>
      <c r="T34" s="62">
        <f t="shared" si="32"/>
        <v>6893.690636160647</v>
      </c>
      <c r="U34" s="62">
        <f>T34*'Baseline Inputs'!$C$258/100</f>
        <v>551.4952508928518</v>
      </c>
      <c r="V34" s="62">
        <f t="shared" si="11"/>
        <v>6342.1953852677952</v>
      </c>
      <c r="W34" s="62">
        <f t="shared" si="33"/>
        <v>0</v>
      </c>
      <c r="X34" s="62">
        <f>W34*'Baseline Inputs'!$C$259/100</f>
        <v>0</v>
      </c>
      <c r="Y34" s="62">
        <f t="shared" si="12"/>
        <v>0</v>
      </c>
      <c r="Z34" s="62">
        <f t="shared" si="34"/>
        <v>0</v>
      </c>
      <c r="AA34" s="62">
        <f>Z34*'Baseline Inputs'!$C$260/100</f>
        <v>0</v>
      </c>
      <c r="AB34" s="62">
        <f t="shared" si="13"/>
        <v>0</v>
      </c>
      <c r="AC34" s="62">
        <f t="shared" si="35"/>
        <v>0</v>
      </c>
      <c r="AD34" s="62">
        <f>AC34*'Baseline Inputs'!$C$261/100</f>
        <v>0</v>
      </c>
      <c r="AE34" s="62">
        <f t="shared" si="14"/>
        <v>0</v>
      </c>
      <c r="AF34" s="62">
        <f t="shared" si="36"/>
        <v>0</v>
      </c>
      <c r="AG34" s="62">
        <f>AF34*'Baseline Inputs'!$C$264/100</f>
        <v>0</v>
      </c>
      <c r="AH34" s="62">
        <f t="shared" si="15"/>
        <v>0</v>
      </c>
      <c r="AI34" s="62">
        <f t="shared" si="37"/>
        <v>0</v>
      </c>
      <c r="AJ34" s="62">
        <f>AI34*'Baseline Inputs'!$C$265/100</f>
        <v>0</v>
      </c>
      <c r="AK34" s="62">
        <f t="shared" si="16"/>
        <v>0</v>
      </c>
      <c r="AL34" s="62">
        <f t="shared" si="38"/>
        <v>0</v>
      </c>
      <c r="AM34" s="62">
        <f>AL34*'Baseline Inputs'!$C$266/100</f>
        <v>0</v>
      </c>
      <c r="AN34" s="62">
        <f t="shared" si="17"/>
        <v>0</v>
      </c>
      <c r="AO34" s="62">
        <f t="shared" si="39"/>
        <v>0</v>
      </c>
      <c r="AP34" s="62">
        <f>AO34*'Baseline Inputs'!$C$267/100</f>
        <v>0</v>
      </c>
      <c r="AQ34" s="62">
        <f t="shared" si="18"/>
        <v>0</v>
      </c>
      <c r="AR34" s="62">
        <f t="shared" si="40"/>
        <v>0</v>
      </c>
      <c r="AS34" s="62">
        <f>AR34*'Baseline Inputs'!$C$268/100</f>
        <v>0</v>
      </c>
      <c r="AT34" s="62">
        <f t="shared" si="19"/>
        <v>0</v>
      </c>
      <c r="AU34" s="62">
        <f t="shared" si="41"/>
        <v>0</v>
      </c>
      <c r="AV34" s="62">
        <f>AU34*'Baseline Inputs'!$C$269/100</f>
        <v>0</v>
      </c>
      <c r="AW34" s="62">
        <f t="shared" si="20"/>
        <v>0</v>
      </c>
      <c r="AX34" s="62">
        <f t="shared" si="42"/>
        <v>0</v>
      </c>
      <c r="AY34" s="62">
        <f>AX34*'Baseline Inputs'!$C$270/100</f>
        <v>0</v>
      </c>
      <c r="AZ34" s="62">
        <f t="shared" si="21"/>
        <v>0</v>
      </c>
      <c r="BA34" s="62">
        <f t="shared" si="43"/>
        <v>0</v>
      </c>
      <c r="BB34" s="62">
        <f>BA34*'Baseline Inputs'!$C$271/100</f>
        <v>0</v>
      </c>
      <c r="BC34" s="62">
        <f t="shared" si="22"/>
        <v>0</v>
      </c>
      <c r="BD34" s="62">
        <f t="shared" si="44"/>
        <v>0</v>
      </c>
      <c r="BE34" s="62">
        <f>BD34*'Baseline Inputs'!$C$272/100</f>
        <v>0</v>
      </c>
      <c r="BF34" s="62">
        <f t="shared" si="23"/>
        <v>0</v>
      </c>
      <c r="BG34" s="62">
        <f t="shared" si="45"/>
        <v>0</v>
      </c>
      <c r="BH34" s="62">
        <f>BG34*'Baseline Inputs'!$C$273/100</f>
        <v>0</v>
      </c>
      <c r="BI34" s="62">
        <f t="shared" si="24"/>
        <v>0</v>
      </c>
      <c r="BJ34" s="62">
        <f t="shared" si="1"/>
        <v>955.29457085433251</v>
      </c>
      <c r="BK34" s="62">
        <f t="shared" si="2"/>
        <v>10985.887564824825</v>
      </c>
      <c r="BL34" s="62">
        <f t="shared" si="46"/>
        <v>0</v>
      </c>
      <c r="BM34" s="62">
        <f t="shared" si="3"/>
        <v>10985.887564824825</v>
      </c>
      <c r="BN34" s="66">
        <f t="shared" si="47"/>
        <v>0</v>
      </c>
      <c r="BO34" s="62">
        <f t="shared" si="4"/>
        <v>0</v>
      </c>
    </row>
    <row r="35" spans="1:67" x14ac:dyDescent="0.2">
      <c r="A35" s="4">
        <f t="shared" si="5"/>
        <v>2041</v>
      </c>
      <c r="B35" s="62">
        <f t="shared" si="25"/>
        <v>0</v>
      </c>
      <c r="C35" s="62">
        <f>B35*'Baseline Inputs'!$C$252/100</f>
        <v>0</v>
      </c>
      <c r="D35" s="62">
        <f t="shared" si="26"/>
        <v>0</v>
      </c>
      <c r="E35" s="62">
        <f t="shared" si="27"/>
        <v>0</v>
      </c>
      <c r="F35" s="62">
        <f>E35*'Baseline Inputs'!$C$253/100</f>
        <v>0</v>
      </c>
      <c r="G35" s="62">
        <f t="shared" si="6"/>
        <v>0</v>
      </c>
      <c r="H35" s="62">
        <f t="shared" si="28"/>
        <v>0</v>
      </c>
      <c r="I35" s="62">
        <f>H35*'Baseline Inputs'!$C$254/100</f>
        <v>0</v>
      </c>
      <c r="J35" s="62">
        <f t="shared" si="7"/>
        <v>0</v>
      </c>
      <c r="K35" s="62">
        <f t="shared" si="29"/>
        <v>0</v>
      </c>
      <c r="L35" s="62">
        <f>K35*'Baseline Inputs'!$C$255/100</f>
        <v>0</v>
      </c>
      <c r="M35" s="62">
        <f t="shared" si="8"/>
        <v>0</v>
      </c>
      <c r="N35" s="62">
        <f t="shared" si="30"/>
        <v>2615.0477008406488</v>
      </c>
      <c r="O35" s="62">
        <f>N35*'Baseline Inputs'!$C$256/100</f>
        <v>209.20381606725189</v>
      </c>
      <c r="P35" s="62">
        <f t="shared" si="9"/>
        <v>2405.8438847733969</v>
      </c>
      <c r="Q35" s="62">
        <f t="shared" si="31"/>
        <v>2028.6444787163796</v>
      </c>
      <c r="R35" s="62">
        <f>Q35*'Baseline Inputs'!$C$257/100</f>
        <v>162.29155829731036</v>
      </c>
      <c r="S35" s="62">
        <f t="shared" si="10"/>
        <v>1866.3529204190693</v>
      </c>
      <c r="T35" s="62">
        <f t="shared" si="32"/>
        <v>6342.1953852677952</v>
      </c>
      <c r="U35" s="62">
        <f>T35*'Baseline Inputs'!$C$258/100</f>
        <v>507.37563082142361</v>
      </c>
      <c r="V35" s="62">
        <f t="shared" si="11"/>
        <v>5834.8197544463719</v>
      </c>
      <c r="W35" s="62">
        <f t="shared" si="33"/>
        <v>0</v>
      </c>
      <c r="X35" s="62">
        <f>W35*'Baseline Inputs'!$C$259/100</f>
        <v>0</v>
      </c>
      <c r="Y35" s="62">
        <f t="shared" si="12"/>
        <v>0</v>
      </c>
      <c r="Z35" s="62">
        <f t="shared" si="34"/>
        <v>0</v>
      </c>
      <c r="AA35" s="62">
        <f>Z35*'Baseline Inputs'!$C$260/100</f>
        <v>0</v>
      </c>
      <c r="AB35" s="62">
        <f t="shared" si="13"/>
        <v>0</v>
      </c>
      <c r="AC35" s="62">
        <f t="shared" si="35"/>
        <v>0</v>
      </c>
      <c r="AD35" s="62">
        <f>AC35*'Baseline Inputs'!$C$261/100</f>
        <v>0</v>
      </c>
      <c r="AE35" s="62">
        <f t="shared" si="14"/>
        <v>0</v>
      </c>
      <c r="AF35" s="62">
        <f t="shared" si="36"/>
        <v>0</v>
      </c>
      <c r="AG35" s="62">
        <f>AF35*'Baseline Inputs'!$C$264/100</f>
        <v>0</v>
      </c>
      <c r="AH35" s="62">
        <f t="shared" si="15"/>
        <v>0</v>
      </c>
      <c r="AI35" s="62">
        <f t="shared" si="37"/>
        <v>0</v>
      </c>
      <c r="AJ35" s="62">
        <f>AI35*'Baseline Inputs'!$C$265/100</f>
        <v>0</v>
      </c>
      <c r="AK35" s="62">
        <f t="shared" si="16"/>
        <v>0</v>
      </c>
      <c r="AL35" s="62">
        <f t="shared" si="38"/>
        <v>0</v>
      </c>
      <c r="AM35" s="62">
        <f>AL35*'Baseline Inputs'!$C$266/100</f>
        <v>0</v>
      </c>
      <c r="AN35" s="62">
        <f t="shared" si="17"/>
        <v>0</v>
      </c>
      <c r="AO35" s="62">
        <f t="shared" si="39"/>
        <v>0</v>
      </c>
      <c r="AP35" s="62">
        <f>AO35*'Baseline Inputs'!$C$267/100</f>
        <v>0</v>
      </c>
      <c r="AQ35" s="62">
        <f t="shared" si="18"/>
        <v>0</v>
      </c>
      <c r="AR35" s="62">
        <f t="shared" si="40"/>
        <v>0</v>
      </c>
      <c r="AS35" s="62">
        <f>AR35*'Baseline Inputs'!$C$268/100</f>
        <v>0</v>
      </c>
      <c r="AT35" s="62">
        <f t="shared" si="19"/>
        <v>0</v>
      </c>
      <c r="AU35" s="62">
        <f t="shared" si="41"/>
        <v>0</v>
      </c>
      <c r="AV35" s="62">
        <f>AU35*'Baseline Inputs'!$C$269/100</f>
        <v>0</v>
      </c>
      <c r="AW35" s="62">
        <f t="shared" si="20"/>
        <v>0</v>
      </c>
      <c r="AX35" s="62">
        <f t="shared" si="42"/>
        <v>0</v>
      </c>
      <c r="AY35" s="62">
        <f>AX35*'Baseline Inputs'!$C$270/100</f>
        <v>0</v>
      </c>
      <c r="AZ35" s="62">
        <f t="shared" si="21"/>
        <v>0</v>
      </c>
      <c r="BA35" s="62">
        <f t="shared" si="43"/>
        <v>0</v>
      </c>
      <c r="BB35" s="62">
        <f>BA35*'Baseline Inputs'!$C$271/100</f>
        <v>0</v>
      </c>
      <c r="BC35" s="62">
        <f t="shared" si="22"/>
        <v>0</v>
      </c>
      <c r="BD35" s="62">
        <f t="shared" si="44"/>
        <v>0</v>
      </c>
      <c r="BE35" s="62">
        <f>BD35*'Baseline Inputs'!$C$272/100</f>
        <v>0</v>
      </c>
      <c r="BF35" s="62">
        <f t="shared" si="23"/>
        <v>0</v>
      </c>
      <c r="BG35" s="62">
        <f t="shared" si="45"/>
        <v>0</v>
      </c>
      <c r="BH35" s="62">
        <f>BG35*'Baseline Inputs'!$C$273/100</f>
        <v>0</v>
      </c>
      <c r="BI35" s="62">
        <f t="shared" si="24"/>
        <v>0</v>
      </c>
      <c r="BJ35" s="62">
        <f t="shared" si="1"/>
        <v>878.87100518598595</v>
      </c>
      <c r="BK35" s="62">
        <f t="shared" si="2"/>
        <v>10107.016559638838</v>
      </c>
      <c r="BL35" s="62">
        <f t="shared" si="46"/>
        <v>0</v>
      </c>
      <c r="BM35" s="62">
        <f t="shared" si="3"/>
        <v>10107.016559638838</v>
      </c>
      <c r="BN35" s="66">
        <f t="shared" si="47"/>
        <v>0</v>
      </c>
      <c r="BO35" s="62">
        <f t="shared" si="4"/>
        <v>0</v>
      </c>
    </row>
    <row r="36" spans="1:67" x14ac:dyDescent="0.2">
      <c r="A36" s="4">
        <f t="shared" si="5"/>
        <v>2042</v>
      </c>
      <c r="B36" s="62">
        <f t="shared" si="25"/>
        <v>0</v>
      </c>
      <c r="C36" s="62">
        <f>B36*'Baseline Inputs'!$C$252/100</f>
        <v>0</v>
      </c>
      <c r="D36" s="62">
        <f t="shared" si="26"/>
        <v>0</v>
      </c>
      <c r="E36" s="62">
        <f t="shared" si="27"/>
        <v>0</v>
      </c>
      <c r="F36" s="62">
        <f>E36*'Baseline Inputs'!$C$253/100</f>
        <v>0</v>
      </c>
      <c r="G36" s="62">
        <f t="shared" si="6"/>
        <v>0</v>
      </c>
      <c r="H36" s="62">
        <f t="shared" si="28"/>
        <v>0</v>
      </c>
      <c r="I36" s="62">
        <f>H36*'Baseline Inputs'!$C$254/100</f>
        <v>0</v>
      </c>
      <c r="J36" s="62">
        <f t="shared" si="7"/>
        <v>0</v>
      </c>
      <c r="K36" s="62">
        <f t="shared" si="29"/>
        <v>0</v>
      </c>
      <c r="L36" s="62">
        <f>K36*'Baseline Inputs'!$C$255/100</f>
        <v>0</v>
      </c>
      <c r="M36" s="62">
        <f t="shared" si="8"/>
        <v>0</v>
      </c>
      <c r="N36" s="62">
        <f t="shared" si="30"/>
        <v>2405.8438847733969</v>
      </c>
      <c r="O36" s="62">
        <f>N36*'Baseline Inputs'!$C$256/100</f>
        <v>192.46751078187174</v>
      </c>
      <c r="P36" s="62">
        <f t="shared" si="9"/>
        <v>2213.3763739915253</v>
      </c>
      <c r="Q36" s="62">
        <f t="shared" si="31"/>
        <v>1866.3529204190693</v>
      </c>
      <c r="R36" s="62">
        <f>Q36*'Baseline Inputs'!$C$257/100</f>
        <v>149.30823363352553</v>
      </c>
      <c r="S36" s="62">
        <f t="shared" si="10"/>
        <v>1717.0446867855437</v>
      </c>
      <c r="T36" s="62">
        <f t="shared" si="32"/>
        <v>5834.8197544463719</v>
      </c>
      <c r="U36" s="62">
        <f>T36*'Baseline Inputs'!$C$258/100</f>
        <v>466.78558035570973</v>
      </c>
      <c r="V36" s="62">
        <f t="shared" si="11"/>
        <v>5368.0341740906624</v>
      </c>
      <c r="W36" s="62">
        <f t="shared" si="33"/>
        <v>0</v>
      </c>
      <c r="X36" s="62">
        <f>W36*'Baseline Inputs'!$C$259/100</f>
        <v>0</v>
      </c>
      <c r="Y36" s="62">
        <f t="shared" si="12"/>
        <v>0</v>
      </c>
      <c r="Z36" s="62">
        <f t="shared" si="34"/>
        <v>0</v>
      </c>
      <c r="AA36" s="62">
        <f>Z36*'Baseline Inputs'!$C$260/100</f>
        <v>0</v>
      </c>
      <c r="AB36" s="62">
        <f t="shared" si="13"/>
        <v>0</v>
      </c>
      <c r="AC36" s="62">
        <f t="shared" si="35"/>
        <v>0</v>
      </c>
      <c r="AD36" s="62">
        <f>AC36*'Baseline Inputs'!$C$261/100</f>
        <v>0</v>
      </c>
      <c r="AE36" s="62">
        <f t="shared" si="14"/>
        <v>0</v>
      </c>
      <c r="AF36" s="62">
        <f t="shared" si="36"/>
        <v>0</v>
      </c>
      <c r="AG36" s="62">
        <f>AF36*'Baseline Inputs'!$C$264/100</f>
        <v>0</v>
      </c>
      <c r="AH36" s="62">
        <f t="shared" si="15"/>
        <v>0</v>
      </c>
      <c r="AI36" s="62">
        <f t="shared" si="37"/>
        <v>0</v>
      </c>
      <c r="AJ36" s="62">
        <f>AI36*'Baseline Inputs'!$C$265/100</f>
        <v>0</v>
      </c>
      <c r="AK36" s="62">
        <f t="shared" si="16"/>
        <v>0</v>
      </c>
      <c r="AL36" s="62">
        <f t="shared" si="38"/>
        <v>0</v>
      </c>
      <c r="AM36" s="62">
        <f>AL36*'Baseline Inputs'!$C$266/100</f>
        <v>0</v>
      </c>
      <c r="AN36" s="62">
        <f t="shared" si="17"/>
        <v>0</v>
      </c>
      <c r="AO36" s="62">
        <f t="shared" si="39"/>
        <v>0</v>
      </c>
      <c r="AP36" s="62">
        <f>AO36*'Baseline Inputs'!$C$267/100</f>
        <v>0</v>
      </c>
      <c r="AQ36" s="62">
        <f t="shared" si="18"/>
        <v>0</v>
      </c>
      <c r="AR36" s="62">
        <f t="shared" si="40"/>
        <v>0</v>
      </c>
      <c r="AS36" s="62">
        <f>AR36*'Baseline Inputs'!$C$268/100</f>
        <v>0</v>
      </c>
      <c r="AT36" s="62">
        <f t="shared" si="19"/>
        <v>0</v>
      </c>
      <c r="AU36" s="62">
        <f t="shared" si="41"/>
        <v>0</v>
      </c>
      <c r="AV36" s="62">
        <f>AU36*'Baseline Inputs'!$C$269/100</f>
        <v>0</v>
      </c>
      <c r="AW36" s="62">
        <f t="shared" si="20"/>
        <v>0</v>
      </c>
      <c r="AX36" s="62">
        <f t="shared" si="42"/>
        <v>0</v>
      </c>
      <c r="AY36" s="62">
        <f>AX36*'Baseline Inputs'!$C$270/100</f>
        <v>0</v>
      </c>
      <c r="AZ36" s="62">
        <f t="shared" si="21"/>
        <v>0</v>
      </c>
      <c r="BA36" s="62">
        <f t="shared" si="43"/>
        <v>0</v>
      </c>
      <c r="BB36" s="62">
        <f>BA36*'Baseline Inputs'!$C$271/100</f>
        <v>0</v>
      </c>
      <c r="BC36" s="62">
        <f t="shared" si="22"/>
        <v>0</v>
      </c>
      <c r="BD36" s="62">
        <f t="shared" si="44"/>
        <v>0</v>
      </c>
      <c r="BE36" s="62">
        <f>BD36*'Baseline Inputs'!$C$272/100</f>
        <v>0</v>
      </c>
      <c r="BF36" s="62">
        <f t="shared" si="23"/>
        <v>0</v>
      </c>
      <c r="BG36" s="62">
        <f t="shared" si="45"/>
        <v>0</v>
      </c>
      <c r="BH36" s="62">
        <f>BG36*'Baseline Inputs'!$C$273/100</f>
        <v>0</v>
      </c>
      <c r="BI36" s="62">
        <f t="shared" si="24"/>
        <v>0</v>
      </c>
      <c r="BJ36" s="62">
        <f t="shared" si="1"/>
        <v>808.56132477110702</v>
      </c>
      <c r="BK36" s="62">
        <f t="shared" si="2"/>
        <v>9298.4552348677316</v>
      </c>
      <c r="BL36" s="62">
        <f t="shared" si="46"/>
        <v>0</v>
      </c>
      <c r="BM36" s="62">
        <f t="shared" si="3"/>
        <v>9298.4552348677316</v>
      </c>
      <c r="BN36" s="66">
        <f t="shared" si="47"/>
        <v>0</v>
      </c>
      <c r="BO36" s="62">
        <f t="shared" si="4"/>
        <v>0</v>
      </c>
    </row>
    <row r="37" spans="1:67" x14ac:dyDescent="0.2">
      <c r="A37" s="4">
        <f t="shared" si="5"/>
        <v>2043</v>
      </c>
      <c r="B37" s="62">
        <f t="shared" si="25"/>
        <v>0</v>
      </c>
      <c r="C37" s="62">
        <f>B37*'Baseline Inputs'!$C$252/100</f>
        <v>0</v>
      </c>
      <c r="D37" s="62">
        <f t="shared" si="26"/>
        <v>0</v>
      </c>
      <c r="E37" s="62">
        <f t="shared" si="27"/>
        <v>0</v>
      </c>
      <c r="F37" s="62">
        <f>E37*'Baseline Inputs'!$C$253/100</f>
        <v>0</v>
      </c>
      <c r="G37" s="62">
        <f t="shared" si="6"/>
        <v>0</v>
      </c>
      <c r="H37" s="62">
        <f t="shared" si="28"/>
        <v>0</v>
      </c>
      <c r="I37" s="62">
        <f>H37*'Baseline Inputs'!$C$254/100</f>
        <v>0</v>
      </c>
      <c r="J37" s="62">
        <f t="shared" si="7"/>
        <v>0</v>
      </c>
      <c r="K37" s="62">
        <f t="shared" si="29"/>
        <v>0</v>
      </c>
      <c r="L37" s="62">
        <f>K37*'Baseline Inputs'!$C$255/100</f>
        <v>0</v>
      </c>
      <c r="M37" s="62">
        <f t="shared" si="8"/>
        <v>0</v>
      </c>
      <c r="N37" s="62">
        <f t="shared" si="30"/>
        <v>2213.3763739915253</v>
      </c>
      <c r="O37" s="62">
        <f>N37*'Baseline Inputs'!$C$256/100</f>
        <v>177.07010991932202</v>
      </c>
      <c r="P37" s="62">
        <f t="shared" si="9"/>
        <v>2036.3062640722032</v>
      </c>
      <c r="Q37" s="62">
        <f t="shared" si="31"/>
        <v>1717.0446867855437</v>
      </c>
      <c r="R37" s="62">
        <f>Q37*'Baseline Inputs'!$C$257/100</f>
        <v>137.36357494284348</v>
      </c>
      <c r="S37" s="62">
        <f t="shared" si="10"/>
        <v>1579.6811118427001</v>
      </c>
      <c r="T37" s="62">
        <f t="shared" si="32"/>
        <v>5368.0341740906624</v>
      </c>
      <c r="U37" s="62">
        <f>T37*'Baseline Inputs'!$C$258/100</f>
        <v>429.44273392725302</v>
      </c>
      <c r="V37" s="62">
        <f t="shared" si="11"/>
        <v>4938.5914401634091</v>
      </c>
      <c r="W37" s="62">
        <f t="shared" si="33"/>
        <v>0</v>
      </c>
      <c r="X37" s="62">
        <f>W37*'Baseline Inputs'!$C$259/100</f>
        <v>0</v>
      </c>
      <c r="Y37" s="62">
        <f t="shared" si="12"/>
        <v>0</v>
      </c>
      <c r="Z37" s="62">
        <f t="shared" si="34"/>
        <v>0</v>
      </c>
      <c r="AA37" s="62">
        <f>Z37*'Baseline Inputs'!$C$260/100</f>
        <v>0</v>
      </c>
      <c r="AB37" s="62">
        <f t="shared" si="13"/>
        <v>0</v>
      </c>
      <c r="AC37" s="62">
        <f t="shared" si="35"/>
        <v>0</v>
      </c>
      <c r="AD37" s="62">
        <f>AC37*'Baseline Inputs'!$C$261/100</f>
        <v>0</v>
      </c>
      <c r="AE37" s="62">
        <f t="shared" si="14"/>
        <v>0</v>
      </c>
      <c r="AF37" s="62">
        <f t="shared" si="36"/>
        <v>0</v>
      </c>
      <c r="AG37" s="62">
        <f>AF37*'Baseline Inputs'!$C$264/100</f>
        <v>0</v>
      </c>
      <c r="AH37" s="62">
        <f t="shared" si="15"/>
        <v>0</v>
      </c>
      <c r="AI37" s="62">
        <f t="shared" si="37"/>
        <v>0</v>
      </c>
      <c r="AJ37" s="62">
        <f>AI37*'Baseline Inputs'!$C$265/100</f>
        <v>0</v>
      </c>
      <c r="AK37" s="62">
        <f t="shared" si="16"/>
        <v>0</v>
      </c>
      <c r="AL37" s="62">
        <f t="shared" si="38"/>
        <v>0</v>
      </c>
      <c r="AM37" s="62">
        <f>AL37*'Baseline Inputs'!$C$266/100</f>
        <v>0</v>
      </c>
      <c r="AN37" s="62">
        <f t="shared" si="17"/>
        <v>0</v>
      </c>
      <c r="AO37" s="62">
        <f t="shared" si="39"/>
        <v>0</v>
      </c>
      <c r="AP37" s="62">
        <f>AO37*'Baseline Inputs'!$C$267/100</f>
        <v>0</v>
      </c>
      <c r="AQ37" s="62">
        <f t="shared" si="18"/>
        <v>0</v>
      </c>
      <c r="AR37" s="62">
        <f t="shared" si="40"/>
        <v>0</v>
      </c>
      <c r="AS37" s="62">
        <f>AR37*'Baseline Inputs'!$C$268/100</f>
        <v>0</v>
      </c>
      <c r="AT37" s="62">
        <f t="shared" si="19"/>
        <v>0</v>
      </c>
      <c r="AU37" s="62">
        <f t="shared" si="41"/>
        <v>0</v>
      </c>
      <c r="AV37" s="62">
        <f>AU37*'Baseline Inputs'!$C$269/100</f>
        <v>0</v>
      </c>
      <c r="AW37" s="62">
        <f t="shared" si="20"/>
        <v>0</v>
      </c>
      <c r="AX37" s="62">
        <f t="shared" si="42"/>
        <v>0</v>
      </c>
      <c r="AY37" s="62">
        <f>AX37*'Baseline Inputs'!$C$270/100</f>
        <v>0</v>
      </c>
      <c r="AZ37" s="62">
        <f t="shared" si="21"/>
        <v>0</v>
      </c>
      <c r="BA37" s="62">
        <f t="shared" si="43"/>
        <v>0</v>
      </c>
      <c r="BB37" s="62">
        <f>BA37*'Baseline Inputs'!$C$271/100</f>
        <v>0</v>
      </c>
      <c r="BC37" s="62">
        <f t="shared" si="22"/>
        <v>0</v>
      </c>
      <c r="BD37" s="62">
        <f t="shared" si="44"/>
        <v>0</v>
      </c>
      <c r="BE37" s="62">
        <f>BD37*'Baseline Inputs'!$C$272/100</f>
        <v>0</v>
      </c>
      <c r="BF37" s="62">
        <f t="shared" si="23"/>
        <v>0</v>
      </c>
      <c r="BG37" s="62">
        <f t="shared" si="45"/>
        <v>0</v>
      </c>
      <c r="BH37" s="62">
        <f>BG37*'Baseline Inputs'!$C$273/100</f>
        <v>0</v>
      </c>
      <c r="BI37" s="62">
        <f t="shared" si="24"/>
        <v>0</v>
      </c>
      <c r="BJ37" s="62">
        <f t="shared" si="1"/>
        <v>743.87641878941849</v>
      </c>
      <c r="BK37" s="62">
        <f t="shared" si="2"/>
        <v>8554.5788160783122</v>
      </c>
      <c r="BL37" s="62">
        <f t="shared" si="46"/>
        <v>0</v>
      </c>
      <c r="BM37" s="62">
        <f t="shared" si="3"/>
        <v>8554.5788160783122</v>
      </c>
      <c r="BN37" s="66">
        <f t="shared" si="47"/>
        <v>0</v>
      </c>
      <c r="BO37" s="62">
        <f t="shared" si="4"/>
        <v>0</v>
      </c>
    </row>
    <row r="38" spans="1:67" x14ac:dyDescent="0.2">
      <c r="A38" s="4">
        <f t="shared" si="5"/>
        <v>2044</v>
      </c>
      <c r="B38" s="62">
        <f t="shared" si="25"/>
        <v>0</v>
      </c>
      <c r="C38" s="62">
        <f>B38*'Baseline Inputs'!$C$252/100</f>
        <v>0</v>
      </c>
      <c r="D38" s="62">
        <f t="shared" si="26"/>
        <v>0</v>
      </c>
      <c r="E38" s="62">
        <f t="shared" si="27"/>
        <v>0</v>
      </c>
      <c r="F38" s="62">
        <f>E38*'Baseline Inputs'!$C$253/100</f>
        <v>0</v>
      </c>
      <c r="G38" s="62">
        <f t="shared" si="6"/>
        <v>0</v>
      </c>
      <c r="H38" s="62">
        <f t="shared" si="28"/>
        <v>0</v>
      </c>
      <c r="I38" s="62">
        <f>H38*'Baseline Inputs'!$C$254/100</f>
        <v>0</v>
      </c>
      <c r="J38" s="62">
        <f t="shared" si="7"/>
        <v>0</v>
      </c>
      <c r="K38" s="62">
        <f t="shared" si="29"/>
        <v>0</v>
      </c>
      <c r="L38" s="62">
        <f>K38*'Baseline Inputs'!$C$255/100</f>
        <v>0</v>
      </c>
      <c r="M38" s="62">
        <f t="shared" si="8"/>
        <v>0</v>
      </c>
      <c r="N38" s="62">
        <f t="shared" si="30"/>
        <v>2036.3062640722032</v>
      </c>
      <c r="O38" s="62">
        <f>N38*'Baseline Inputs'!$C$256/100</f>
        <v>162.90450112577625</v>
      </c>
      <c r="P38" s="62">
        <f t="shared" si="9"/>
        <v>1873.401762946427</v>
      </c>
      <c r="Q38" s="62">
        <f t="shared" si="31"/>
        <v>1579.6811118427001</v>
      </c>
      <c r="R38" s="62">
        <f>Q38*'Baseline Inputs'!$C$257/100</f>
        <v>126.37448894741601</v>
      </c>
      <c r="S38" s="62">
        <f t="shared" si="10"/>
        <v>1453.3066228952841</v>
      </c>
      <c r="T38" s="62">
        <f t="shared" si="32"/>
        <v>4938.5914401634091</v>
      </c>
      <c r="U38" s="62">
        <f>T38*'Baseline Inputs'!$C$258/100</f>
        <v>395.08731521307271</v>
      </c>
      <c r="V38" s="62">
        <f t="shared" si="11"/>
        <v>4543.5041249503365</v>
      </c>
      <c r="W38" s="62">
        <f t="shared" si="33"/>
        <v>0</v>
      </c>
      <c r="X38" s="62">
        <f>W38*'Baseline Inputs'!$C$259/100</f>
        <v>0</v>
      </c>
      <c r="Y38" s="62">
        <f t="shared" si="12"/>
        <v>0</v>
      </c>
      <c r="Z38" s="62">
        <f t="shared" si="34"/>
        <v>0</v>
      </c>
      <c r="AA38" s="62">
        <f>Z38*'Baseline Inputs'!$C$260/100</f>
        <v>0</v>
      </c>
      <c r="AB38" s="62">
        <f t="shared" si="13"/>
        <v>0</v>
      </c>
      <c r="AC38" s="62">
        <f t="shared" si="35"/>
        <v>0</v>
      </c>
      <c r="AD38" s="62">
        <f>AC38*'Baseline Inputs'!$C$261/100</f>
        <v>0</v>
      </c>
      <c r="AE38" s="62">
        <f t="shared" si="14"/>
        <v>0</v>
      </c>
      <c r="AF38" s="62">
        <f t="shared" si="36"/>
        <v>0</v>
      </c>
      <c r="AG38" s="62">
        <f>AF38*'Baseline Inputs'!$C$264/100</f>
        <v>0</v>
      </c>
      <c r="AH38" s="62">
        <f t="shared" si="15"/>
        <v>0</v>
      </c>
      <c r="AI38" s="62">
        <f t="shared" si="37"/>
        <v>0</v>
      </c>
      <c r="AJ38" s="62">
        <f>AI38*'Baseline Inputs'!$C$265/100</f>
        <v>0</v>
      </c>
      <c r="AK38" s="62">
        <f t="shared" si="16"/>
        <v>0</v>
      </c>
      <c r="AL38" s="62">
        <f t="shared" si="38"/>
        <v>0</v>
      </c>
      <c r="AM38" s="62">
        <f>AL38*'Baseline Inputs'!$C$266/100</f>
        <v>0</v>
      </c>
      <c r="AN38" s="62">
        <f t="shared" si="17"/>
        <v>0</v>
      </c>
      <c r="AO38" s="62">
        <f t="shared" si="39"/>
        <v>0</v>
      </c>
      <c r="AP38" s="62">
        <f>AO38*'Baseline Inputs'!$C$267/100</f>
        <v>0</v>
      </c>
      <c r="AQ38" s="62">
        <f t="shared" si="18"/>
        <v>0</v>
      </c>
      <c r="AR38" s="62">
        <f t="shared" si="40"/>
        <v>0</v>
      </c>
      <c r="AS38" s="62">
        <f>AR38*'Baseline Inputs'!$C$268/100</f>
        <v>0</v>
      </c>
      <c r="AT38" s="62">
        <f t="shared" si="19"/>
        <v>0</v>
      </c>
      <c r="AU38" s="62">
        <f t="shared" si="41"/>
        <v>0</v>
      </c>
      <c r="AV38" s="62">
        <f>AU38*'Baseline Inputs'!$C$269/100</f>
        <v>0</v>
      </c>
      <c r="AW38" s="62">
        <f t="shared" si="20"/>
        <v>0</v>
      </c>
      <c r="AX38" s="62">
        <f t="shared" si="42"/>
        <v>0</v>
      </c>
      <c r="AY38" s="62">
        <f>AX38*'Baseline Inputs'!$C$270/100</f>
        <v>0</v>
      </c>
      <c r="AZ38" s="62">
        <f t="shared" si="21"/>
        <v>0</v>
      </c>
      <c r="BA38" s="62">
        <f t="shared" si="43"/>
        <v>0</v>
      </c>
      <c r="BB38" s="62">
        <f>BA38*'Baseline Inputs'!$C$271/100</f>
        <v>0</v>
      </c>
      <c r="BC38" s="62">
        <f t="shared" si="22"/>
        <v>0</v>
      </c>
      <c r="BD38" s="62">
        <f t="shared" si="44"/>
        <v>0</v>
      </c>
      <c r="BE38" s="62">
        <f>BD38*'Baseline Inputs'!$C$272/100</f>
        <v>0</v>
      </c>
      <c r="BF38" s="62">
        <f t="shared" si="23"/>
        <v>0</v>
      </c>
      <c r="BG38" s="62">
        <f t="shared" si="45"/>
        <v>0</v>
      </c>
      <c r="BH38" s="62">
        <f>BG38*'Baseline Inputs'!$C$273/100</f>
        <v>0</v>
      </c>
      <c r="BI38" s="62">
        <f t="shared" si="24"/>
        <v>0</v>
      </c>
      <c r="BJ38" s="62">
        <f t="shared" si="1"/>
        <v>684.36630528626506</v>
      </c>
      <c r="BK38" s="62">
        <f t="shared" si="2"/>
        <v>7870.2125107920474</v>
      </c>
      <c r="BL38" s="62">
        <f t="shared" si="46"/>
        <v>0</v>
      </c>
      <c r="BM38" s="62">
        <f t="shared" si="3"/>
        <v>7870.2125107920474</v>
      </c>
      <c r="BN38" s="66">
        <f t="shared" si="47"/>
        <v>0</v>
      </c>
      <c r="BO38" s="62">
        <f t="shared" si="4"/>
        <v>0</v>
      </c>
    </row>
    <row r="39" spans="1:67" x14ac:dyDescent="0.2">
      <c r="A39" s="4">
        <f t="shared" si="5"/>
        <v>2045</v>
      </c>
      <c r="B39" s="62">
        <f t="shared" si="25"/>
        <v>0</v>
      </c>
      <c r="C39" s="62">
        <f>B39*'Baseline Inputs'!$C$252/100</f>
        <v>0</v>
      </c>
      <c r="D39" s="62">
        <f t="shared" si="26"/>
        <v>0</v>
      </c>
      <c r="E39" s="62">
        <f t="shared" si="27"/>
        <v>0</v>
      </c>
      <c r="F39" s="62">
        <f>E39*'Baseline Inputs'!$C$253/100</f>
        <v>0</v>
      </c>
      <c r="G39" s="62">
        <f t="shared" si="6"/>
        <v>0</v>
      </c>
      <c r="H39" s="62">
        <f t="shared" si="28"/>
        <v>0</v>
      </c>
      <c r="I39" s="62">
        <f>H39*'Baseline Inputs'!$C$254/100</f>
        <v>0</v>
      </c>
      <c r="J39" s="62">
        <f t="shared" si="7"/>
        <v>0</v>
      </c>
      <c r="K39" s="62">
        <f t="shared" si="29"/>
        <v>0</v>
      </c>
      <c r="L39" s="62">
        <f>K39*'Baseline Inputs'!$C$255/100</f>
        <v>0</v>
      </c>
      <c r="M39" s="62">
        <f t="shared" si="8"/>
        <v>0</v>
      </c>
      <c r="N39" s="62">
        <f t="shared" si="30"/>
        <v>1873.401762946427</v>
      </c>
      <c r="O39" s="62">
        <f>N39*'Baseline Inputs'!$C$256/100</f>
        <v>149.87214103571415</v>
      </c>
      <c r="P39" s="62">
        <f t="shared" si="9"/>
        <v>1723.5296219107129</v>
      </c>
      <c r="Q39" s="62">
        <f t="shared" si="31"/>
        <v>1453.3066228952841</v>
      </c>
      <c r="R39" s="62">
        <f>Q39*'Baseline Inputs'!$C$257/100</f>
        <v>116.26452983162272</v>
      </c>
      <c r="S39" s="62">
        <f t="shared" si="10"/>
        <v>1337.0420930636615</v>
      </c>
      <c r="T39" s="62">
        <f t="shared" si="32"/>
        <v>4543.5041249503365</v>
      </c>
      <c r="U39" s="62">
        <f>T39*'Baseline Inputs'!$C$258/100</f>
        <v>363.48032999602691</v>
      </c>
      <c r="V39" s="62">
        <f t="shared" si="11"/>
        <v>4180.0237949543098</v>
      </c>
      <c r="W39" s="62">
        <f t="shared" si="33"/>
        <v>0</v>
      </c>
      <c r="X39" s="62">
        <f>W39*'Baseline Inputs'!$C$259/100</f>
        <v>0</v>
      </c>
      <c r="Y39" s="62">
        <f t="shared" si="12"/>
        <v>0</v>
      </c>
      <c r="Z39" s="62">
        <f t="shared" si="34"/>
        <v>0</v>
      </c>
      <c r="AA39" s="62">
        <f>Z39*'Baseline Inputs'!$C$260/100</f>
        <v>0</v>
      </c>
      <c r="AB39" s="62">
        <f t="shared" si="13"/>
        <v>0</v>
      </c>
      <c r="AC39" s="62">
        <f t="shared" si="35"/>
        <v>0</v>
      </c>
      <c r="AD39" s="62">
        <f>AC39*'Baseline Inputs'!$C$261/100</f>
        <v>0</v>
      </c>
      <c r="AE39" s="62">
        <f t="shared" si="14"/>
        <v>0</v>
      </c>
      <c r="AF39" s="62">
        <f t="shared" si="36"/>
        <v>0</v>
      </c>
      <c r="AG39" s="62">
        <f>AF39*'Baseline Inputs'!$C$264/100</f>
        <v>0</v>
      </c>
      <c r="AH39" s="62">
        <f t="shared" si="15"/>
        <v>0</v>
      </c>
      <c r="AI39" s="62">
        <f t="shared" si="37"/>
        <v>0</v>
      </c>
      <c r="AJ39" s="62">
        <f>AI39*'Baseline Inputs'!$C$265/100</f>
        <v>0</v>
      </c>
      <c r="AK39" s="62">
        <f t="shared" si="16"/>
        <v>0</v>
      </c>
      <c r="AL39" s="62">
        <f t="shared" si="38"/>
        <v>0</v>
      </c>
      <c r="AM39" s="62">
        <f>AL39*'Baseline Inputs'!$C$266/100</f>
        <v>0</v>
      </c>
      <c r="AN39" s="62">
        <f t="shared" si="17"/>
        <v>0</v>
      </c>
      <c r="AO39" s="62">
        <f t="shared" si="39"/>
        <v>0</v>
      </c>
      <c r="AP39" s="62">
        <f>AO39*'Baseline Inputs'!$C$267/100</f>
        <v>0</v>
      </c>
      <c r="AQ39" s="62">
        <f t="shared" si="18"/>
        <v>0</v>
      </c>
      <c r="AR39" s="62">
        <f t="shared" si="40"/>
        <v>0</v>
      </c>
      <c r="AS39" s="62">
        <f>AR39*'Baseline Inputs'!$C$268/100</f>
        <v>0</v>
      </c>
      <c r="AT39" s="62">
        <f t="shared" si="19"/>
        <v>0</v>
      </c>
      <c r="AU39" s="62">
        <f t="shared" si="41"/>
        <v>0</v>
      </c>
      <c r="AV39" s="62">
        <f>AU39*'Baseline Inputs'!$C$269/100</f>
        <v>0</v>
      </c>
      <c r="AW39" s="62">
        <f t="shared" si="20"/>
        <v>0</v>
      </c>
      <c r="AX39" s="62">
        <f t="shared" si="42"/>
        <v>0</v>
      </c>
      <c r="AY39" s="62">
        <f>AX39*'Baseline Inputs'!$C$270/100</f>
        <v>0</v>
      </c>
      <c r="AZ39" s="62">
        <f t="shared" si="21"/>
        <v>0</v>
      </c>
      <c r="BA39" s="62">
        <f t="shared" si="43"/>
        <v>0</v>
      </c>
      <c r="BB39" s="62">
        <f>BA39*'Baseline Inputs'!$C$271/100</f>
        <v>0</v>
      </c>
      <c r="BC39" s="62">
        <f t="shared" si="22"/>
        <v>0</v>
      </c>
      <c r="BD39" s="62">
        <f t="shared" si="44"/>
        <v>0</v>
      </c>
      <c r="BE39" s="62">
        <f>BD39*'Baseline Inputs'!$C$272/100</f>
        <v>0</v>
      </c>
      <c r="BF39" s="62">
        <f t="shared" si="23"/>
        <v>0</v>
      </c>
      <c r="BG39" s="62">
        <f t="shared" si="45"/>
        <v>0</v>
      </c>
      <c r="BH39" s="62">
        <f>BG39*'Baseline Inputs'!$C$273/100</f>
        <v>0</v>
      </c>
      <c r="BI39" s="62">
        <f t="shared" si="24"/>
        <v>0</v>
      </c>
      <c r="BJ39" s="62">
        <f t="shared" si="1"/>
        <v>629.61700086336373</v>
      </c>
      <c r="BK39" s="62">
        <f t="shared" si="2"/>
        <v>7240.5955099286839</v>
      </c>
      <c r="BL39" s="62">
        <f t="shared" si="46"/>
        <v>0</v>
      </c>
      <c r="BM39" s="62">
        <f t="shared" si="3"/>
        <v>7240.5955099286839</v>
      </c>
      <c r="BN39" s="66">
        <f t="shared" si="47"/>
        <v>0</v>
      </c>
      <c r="BO39" s="62">
        <f t="shared" si="4"/>
        <v>0</v>
      </c>
    </row>
    <row r="40" spans="1:67" x14ac:dyDescent="0.2">
      <c r="A40" s="4">
        <f t="shared" si="5"/>
        <v>2046</v>
      </c>
      <c r="B40" s="62">
        <f t="shared" si="25"/>
        <v>0</v>
      </c>
      <c r="C40" s="62">
        <f>B40*'Baseline Inputs'!$C$252/100</f>
        <v>0</v>
      </c>
      <c r="D40" s="62">
        <f t="shared" si="26"/>
        <v>0</v>
      </c>
      <c r="E40" s="62">
        <f t="shared" si="27"/>
        <v>0</v>
      </c>
      <c r="F40" s="62">
        <f>E40*'Baseline Inputs'!$C$253/100</f>
        <v>0</v>
      </c>
      <c r="G40" s="62">
        <f t="shared" si="6"/>
        <v>0</v>
      </c>
      <c r="H40" s="62">
        <f t="shared" si="28"/>
        <v>0</v>
      </c>
      <c r="I40" s="62">
        <f>H40*'Baseline Inputs'!$C$254/100</f>
        <v>0</v>
      </c>
      <c r="J40" s="62">
        <f t="shared" si="7"/>
        <v>0</v>
      </c>
      <c r="K40" s="62">
        <f t="shared" si="29"/>
        <v>0</v>
      </c>
      <c r="L40" s="62">
        <f>K40*'Baseline Inputs'!$C$255/100</f>
        <v>0</v>
      </c>
      <c r="M40" s="62">
        <f t="shared" si="8"/>
        <v>0</v>
      </c>
      <c r="N40" s="62">
        <f t="shared" si="30"/>
        <v>1723.5296219107129</v>
      </c>
      <c r="O40" s="62">
        <f>N40*'Baseline Inputs'!$C$256/100</f>
        <v>137.88236975285702</v>
      </c>
      <c r="P40" s="62">
        <f t="shared" si="9"/>
        <v>1585.6472521578557</v>
      </c>
      <c r="Q40" s="62">
        <f t="shared" si="31"/>
        <v>1337.0420930636615</v>
      </c>
      <c r="R40" s="62">
        <f>Q40*'Baseline Inputs'!$C$257/100</f>
        <v>106.96336744509291</v>
      </c>
      <c r="S40" s="62">
        <f t="shared" si="10"/>
        <v>1230.0787256185686</v>
      </c>
      <c r="T40" s="62">
        <f t="shared" si="32"/>
        <v>4180.0237949543098</v>
      </c>
      <c r="U40" s="62">
        <f>T40*'Baseline Inputs'!$C$258/100</f>
        <v>334.40190359634477</v>
      </c>
      <c r="V40" s="62">
        <f t="shared" si="11"/>
        <v>3845.6218913579651</v>
      </c>
      <c r="W40" s="62">
        <f t="shared" si="33"/>
        <v>0</v>
      </c>
      <c r="X40" s="62">
        <f>W40*'Baseline Inputs'!$C$259/100</f>
        <v>0</v>
      </c>
      <c r="Y40" s="62">
        <f t="shared" si="12"/>
        <v>0</v>
      </c>
      <c r="Z40" s="62">
        <f t="shared" si="34"/>
        <v>0</v>
      </c>
      <c r="AA40" s="62">
        <f>Z40*'Baseline Inputs'!$C$260/100</f>
        <v>0</v>
      </c>
      <c r="AB40" s="62">
        <f t="shared" si="13"/>
        <v>0</v>
      </c>
      <c r="AC40" s="62">
        <f t="shared" si="35"/>
        <v>0</v>
      </c>
      <c r="AD40" s="62">
        <f>AC40*'Baseline Inputs'!$C$261/100</f>
        <v>0</v>
      </c>
      <c r="AE40" s="62">
        <f t="shared" si="14"/>
        <v>0</v>
      </c>
      <c r="AF40" s="62">
        <f t="shared" si="36"/>
        <v>0</v>
      </c>
      <c r="AG40" s="62">
        <f>AF40*'Baseline Inputs'!$C$264/100</f>
        <v>0</v>
      </c>
      <c r="AH40" s="62">
        <f t="shared" si="15"/>
        <v>0</v>
      </c>
      <c r="AI40" s="62">
        <f t="shared" si="37"/>
        <v>0</v>
      </c>
      <c r="AJ40" s="62">
        <f>AI40*'Baseline Inputs'!$C$265/100</f>
        <v>0</v>
      </c>
      <c r="AK40" s="62">
        <f t="shared" si="16"/>
        <v>0</v>
      </c>
      <c r="AL40" s="62">
        <f t="shared" si="38"/>
        <v>0</v>
      </c>
      <c r="AM40" s="62">
        <f>AL40*'Baseline Inputs'!$C$266/100</f>
        <v>0</v>
      </c>
      <c r="AN40" s="62">
        <f t="shared" si="17"/>
        <v>0</v>
      </c>
      <c r="AO40" s="62">
        <f t="shared" si="39"/>
        <v>0</v>
      </c>
      <c r="AP40" s="62">
        <f>AO40*'Baseline Inputs'!$C$267/100</f>
        <v>0</v>
      </c>
      <c r="AQ40" s="62">
        <f t="shared" si="18"/>
        <v>0</v>
      </c>
      <c r="AR40" s="62">
        <f t="shared" si="40"/>
        <v>0</v>
      </c>
      <c r="AS40" s="62">
        <f>AR40*'Baseline Inputs'!$C$268/100</f>
        <v>0</v>
      </c>
      <c r="AT40" s="62">
        <f t="shared" si="19"/>
        <v>0</v>
      </c>
      <c r="AU40" s="62">
        <f t="shared" si="41"/>
        <v>0</v>
      </c>
      <c r="AV40" s="62">
        <f>AU40*'Baseline Inputs'!$C$269/100</f>
        <v>0</v>
      </c>
      <c r="AW40" s="62">
        <f t="shared" si="20"/>
        <v>0</v>
      </c>
      <c r="AX40" s="62">
        <f t="shared" si="42"/>
        <v>0</v>
      </c>
      <c r="AY40" s="62">
        <f>AX40*'Baseline Inputs'!$C$270/100</f>
        <v>0</v>
      </c>
      <c r="AZ40" s="62">
        <f t="shared" si="21"/>
        <v>0</v>
      </c>
      <c r="BA40" s="62">
        <f t="shared" si="43"/>
        <v>0</v>
      </c>
      <c r="BB40" s="62">
        <f>BA40*'Baseline Inputs'!$C$271/100</f>
        <v>0</v>
      </c>
      <c r="BC40" s="62">
        <f t="shared" si="22"/>
        <v>0</v>
      </c>
      <c r="BD40" s="62">
        <f t="shared" si="44"/>
        <v>0</v>
      </c>
      <c r="BE40" s="62">
        <f>BD40*'Baseline Inputs'!$C$272/100</f>
        <v>0</v>
      </c>
      <c r="BF40" s="62">
        <f t="shared" si="23"/>
        <v>0</v>
      </c>
      <c r="BG40" s="62">
        <f t="shared" si="45"/>
        <v>0</v>
      </c>
      <c r="BH40" s="62">
        <f>BG40*'Baseline Inputs'!$C$273/100</f>
        <v>0</v>
      </c>
      <c r="BI40" s="62">
        <f t="shared" si="24"/>
        <v>0</v>
      </c>
      <c r="BJ40" s="62">
        <f t="shared" si="1"/>
        <v>579.24764079429474</v>
      </c>
      <c r="BK40" s="62">
        <f t="shared" si="2"/>
        <v>6661.3478691343898</v>
      </c>
      <c r="BL40" s="62">
        <f t="shared" si="46"/>
        <v>0</v>
      </c>
      <c r="BM40" s="62">
        <f t="shared" si="3"/>
        <v>6661.3478691343898</v>
      </c>
      <c r="BN40" s="66">
        <f t="shared" si="47"/>
        <v>0</v>
      </c>
      <c r="BO40" s="62">
        <f t="shared" si="4"/>
        <v>0</v>
      </c>
    </row>
    <row r="41" spans="1:67" x14ac:dyDescent="0.2">
      <c r="A41" s="4"/>
    </row>
    <row r="42" spans="1:67" x14ac:dyDescent="0.2">
      <c r="A42" s="4"/>
    </row>
    <row r="43" spans="1:67" x14ac:dyDescent="0.2">
      <c r="A43" s="4"/>
    </row>
    <row r="44" spans="1:67" x14ac:dyDescent="0.2">
      <c r="A44" s="4"/>
    </row>
    <row r="45" spans="1:67" x14ac:dyDescent="0.2">
      <c r="A45" s="4"/>
    </row>
    <row r="46" spans="1:67" x14ac:dyDescent="0.2">
      <c r="A46" s="4"/>
    </row>
    <row r="47" spans="1:67" x14ac:dyDescent="0.2">
      <c r="A47" s="4"/>
    </row>
    <row r="48" spans="1:67"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row r="88" spans="1:1" x14ac:dyDescent="0.2">
      <c r="A88" s="4"/>
    </row>
    <row r="89" spans="1:1" x14ac:dyDescent="0.2">
      <c r="A89" s="4"/>
    </row>
    <row r="90" spans="1:1" x14ac:dyDescent="0.2">
      <c r="A90" s="4"/>
    </row>
    <row r="91" spans="1:1" x14ac:dyDescent="0.2">
      <c r="A91" s="4"/>
    </row>
    <row r="92" spans="1:1" x14ac:dyDescent="0.2">
      <c r="A92" s="4"/>
    </row>
    <row r="93" spans="1:1" x14ac:dyDescent="0.2">
      <c r="A93" s="4"/>
    </row>
    <row r="94" spans="1:1" x14ac:dyDescent="0.2">
      <c r="A94" s="4"/>
    </row>
    <row r="95" spans="1:1" x14ac:dyDescent="0.2">
      <c r="A95" s="4"/>
    </row>
    <row r="96" spans="1:1" x14ac:dyDescent="0.2">
      <c r="A96" s="4"/>
    </row>
    <row r="97" spans="1:1" x14ac:dyDescent="0.2">
      <c r="A97" s="4"/>
    </row>
    <row r="98" spans="1:1" x14ac:dyDescent="0.2">
      <c r="A98" s="4"/>
    </row>
    <row r="99" spans="1:1" x14ac:dyDescent="0.2">
      <c r="A99" s="4"/>
    </row>
    <row r="100" spans="1:1" x14ac:dyDescent="0.2">
      <c r="A100" s="4"/>
    </row>
    <row r="101" spans="1:1" x14ac:dyDescent="0.2">
      <c r="A101" s="4"/>
    </row>
    <row r="102" spans="1:1" x14ac:dyDescent="0.2">
      <c r="A102" s="4"/>
    </row>
    <row r="103" spans="1:1" x14ac:dyDescent="0.2">
      <c r="A103" s="4"/>
    </row>
    <row r="104" spans="1:1" x14ac:dyDescent="0.2">
      <c r="A104" s="4"/>
    </row>
    <row r="105" spans="1:1" x14ac:dyDescent="0.2">
      <c r="A105" s="4"/>
    </row>
    <row r="106" spans="1:1" x14ac:dyDescent="0.2">
      <c r="A106" s="4"/>
    </row>
    <row r="107" spans="1:1" x14ac:dyDescent="0.2">
      <c r="A107" s="4"/>
    </row>
    <row r="108" spans="1:1" x14ac:dyDescent="0.2">
      <c r="A108" s="4"/>
    </row>
    <row r="109" spans="1:1" x14ac:dyDescent="0.2">
      <c r="A109" s="4"/>
    </row>
    <row r="110" spans="1:1" x14ac:dyDescent="0.2">
      <c r="A110" s="4"/>
    </row>
    <row r="111" spans="1:1" x14ac:dyDescent="0.2">
      <c r="A111" s="4"/>
    </row>
    <row r="112" spans="1:1" x14ac:dyDescent="0.2">
      <c r="A112" s="4"/>
    </row>
    <row r="113" spans="1:1" x14ac:dyDescent="0.2">
      <c r="A113" s="4"/>
    </row>
    <row r="114" spans="1:1" x14ac:dyDescent="0.2">
      <c r="A114" s="4"/>
    </row>
    <row r="115" spans="1:1" x14ac:dyDescent="0.2">
      <c r="A115" s="4"/>
    </row>
    <row r="116" spans="1:1" x14ac:dyDescent="0.2">
      <c r="A116" s="4"/>
    </row>
    <row r="117" spans="1:1" x14ac:dyDescent="0.2">
      <c r="A117" s="4"/>
    </row>
    <row r="118" spans="1:1" x14ac:dyDescent="0.2">
      <c r="A118" s="4"/>
    </row>
    <row r="119" spans="1:1" x14ac:dyDescent="0.2">
      <c r="A119" s="4"/>
    </row>
    <row r="120" spans="1:1" x14ac:dyDescent="0.2">
      <c r="A120" s="4"/>
    </row>
    <row r="121" spans="1:1" x14ac:dyDescent="0.2">
      <c r="A121" s="4"/>
    </row>
    <row r="122" spans="1:1" x14ac:dyDescent="0.2">
      <c r="A122" s="4"/>
    </row>
    <row r="123" spans="1:1" x14ac:dyDescent="0.2">
      <c r="A123" s="4"/>
    </row>
    <row r="124" spans="1:1" x14ac:dyDescent="0.2">
      <c r="A124" s="4"/>
    </row>
    <row r="125" spans="1:1" x14ac:dyDescent="0.2">
      <c r="A125" s="4"/>
    </row>
    <row r="126" spans="1:1" x14ac:dyDescent="0.2">
      <c r="A126" s="4"/>
    </row>
    <row r="127" spans="1:1" x14ac:dyDescent="0.2">
      <c r="A127" s="4"/>
    </row>
    <row r="128" spans="1:1"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sheetData>
  <customSheetViews>
    <customSheetView guid="{183997E1-9CCE-11D3-BD95-0000861AD9C2}" fitToPage="1" showRuler="0" topLeftCell="A14">
      <selection activeCell="G17" sqref="G17"/>
      <pageMargins left="0.75" right="0.75" top="1" bottom="1" header="0.5" footer="0.5"/>
      <headerFooter alignWithMargins="0"/>
    </customSheetView>
  </customSheetViews>
  <phoneticPr fontId="0" type="noConversion"/>
  <pageMargins left="0.75" right="0.75" top="1" bottom="1" header="0.5" footer="0.5"/>
  <pageSetup scale="10"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N311"/>
  <sheetViews>
    <sheetView workbookViewId="0"/>
  </sheetViews>
  <sheetFormatPr defaultRowHeight="12.75" x14ac:dyDescent="0.2"/>
  <cols>
    <col min="1" max="1" width="12.7109375" customWidth="1"/>
    <col min="2" max="81" width="12.7109375" style="4" customWidth="1"/>
    <col min="82" max="92" width="15.7109375" style="4" customWidth="1"/>
  </cols>
  <sheetData>
    <row r="1" spans="1:92" ht="18" x14ac:dyDescent="0.25">
      <c r="A1" s="81" t="str">
        <f>'Table of Contents'!A1</f>
        <v>Expansion - Economic Evaluation Model 2022</v>
      </c>
    </row>
    <row r="3" spans="1:92" x14ac:dyDescent="0.2">
      <c r="A3" s="11" t="s">
        <v>92</v>
      </c>
    </row>
    <row r="5" spans="1:92" x14ac:dyDescent="0.2">
      <c r="A5" t="s">
        <v>65</v>
      </c>
    </row>
    <row r="7" spans="1:92" x14ac:dyDescent="0.2">
      <c r="B7" s="4" t="str">
        <f>'CCA &amp; Cap Tax'!$B$7</f>
        <v>1820 Distribution Station Equipment</v>
      </c>
      <c r="F7" s="4" t="str">
        <f>'CCA &amp; Cap Tax'!$E$7</f>
        <v>1830 Poles, Towers &amp; Fixtures</v>
      </c>
      <c r="J7" s="4" t="str">
        <f>'CCA &amp; Cap Tax'!$H$7</f>
        <v>1835 Overhead Conductors &amp; Devices</v>
      </c>
      <c r="N7" s="4" t="str">
        <f>'CCA &amp; Cap Tax'!$K$7</f>
        <v>1840 Underground Conduit</v>
      </c>
      <c r="R7" s="4" t="str">
        <f>'CCA &amp; Cap Tax'!$N$7</f>
        <v>1845 Underground Conductors &amp; Devices</v>
      </c>
      <c r="V7" s="4" t="str">
        <f>'CCA &amp; Cap Tax'!$Q$7</f>
        <v>1850 Transformers</v>
      </c>
      <c r="Z7" s="4" t="str">
        <f>'CCA &amp; Cap Tax'!$T$7</f>
        <v>1855 Services</v>
      </c>
      <c r="AD7" s="4" t="str">
        <f>'CCA &amp; Cap Tax'!$W$7</f>
        <v>1860 Meters</v>
      </c>
      <c r="AH7" s="4">
        <f>'CCA &amp; Cap Tax'!$Z$7</f>
        <v>0</v>
      </c>
      <c r="AL7" s="4">
        <f>'CCA &amp; Cap Tax'!$AC$7</f>
        <v>0</v>
      </c>
      <c r="AP7" s="4" t="str">
        <f>'CCA &amp; Cap Tax'!$AF$7</f>
        <v>1820 Distribution Station Equipment</v>
      </c>
      <c r="AT7" s="4" t="str">
        <f>'CCA &amp; Cap Tax'!$AI$7</f>
        <v>1830 Poles, Towers &amp; Fixtures</v>
      </c>
      <c r="AX7" s="4" t="str">
        <f>'CCA &amp; Cap Tax'!$AL$7</f>
        <v>1835 Overhead Conductors &amp; Devices</v>
      </c>
      <c r="BB7" s="4" t="str">
        <f>'CCA &amp; Cap Tax'!$AO$7</f>
        <v>1840 Underground Conduit</v>
      </c>
      <c r="BF7" s="4" t="str">
        <f>'CCA &amp; Cap Tax'!$AR$7</f>
        <v>1845 Underground Conductors &amp; Devices</v>
      </c>
      <c r="BJ7" s="4" t="str">
        <f>'CCA &amp; Cap Tax'!$AU$7</f>
        <v>1850 Transformers</v>
      </c>
      <c r="BN7" s="4" t="str">
        <f>'CCA &amp; Cap Tax'!$AX$7</f>
        <v>1855 Services</v>
      </c>
      <c r="BR7" s="4" t="str">
        <f>'CCA &amp; Cap Tax'!$BA$7</f>
        <v>1860 Meters</v>
      </c>
      <c r="BV7" s="4">
        <f>'CCA &amp; Cap Tax'!$BD$7</f>
        <v>0</v>
      </c>
      <c r="BZ7" s="4">
        <f>'CCA &amp; Cap Tax'!$BG$7</f>
        <v>0</v>
      </c>
    </row>
    <row r="9" spans="1:92" x14ac:dyDescent="0.2">
      <c r="A9" s="4">
        <f>'CCA &amp; Cap Tax'!A9</f>
        <v>2022</v>
      </c>
      <c r="B9" s="62">
        <f>'CCA &amp; Cap Tax'!$B$9</f>
        <v>0</v>
      </c>
      <c r="C9" s="62"/>
      <c r="D9" s="62"/>
      <c r="E9" s="62"/>
      <c r="F9" s="62">
        <f>'CCA &amp; Cap Tax'!$E$9</f>
        <v>0</v>
      </c>
      <c r="G9" s="62"/>
      <c r="H9" s="62"/>
      <c r="I9" s="62"/>
      <c r="J9" s="62">
        <f>'CCA &amp; Cap Tax'!$H$9</f>
        <v>0</v>
      </c>
      <c r="K9" s="62"/>
      <c r="L9" s="62"/>
      <c r="M9" s="62"/>
      <c r="N9" s="62">
        <f>'CCA &amp; Cap Tax'!$K$9</f>
        <v>0</v>
      </c>
      <c r="O9" s="62"/>
      <c r="P9" s="62"/>
      <c r="Q9" s="62"/>
      <c r="R9" s="62">
        <f>'CCA &amp; Cap Tax'!$N$9</f>
        <v>12218.77</v>
      </c>
      <c r="S9" s="62"/>
      <c r="T9" s="62"/>
      <c r="U9" s="62"/>
      <c r="V9" s="62">
        <f>'CCA &amp; Cap Tax'!$Q$9</f>
        <v>9478.81</v>
      </c>
      <c r="W9" s="62"/>
      <c r="X9" s="25"/>
      <c r="Y9" s="62"/>
      <c r="Z9" s="62">
        <f>'CCA &amp; Cap Tax'!$T$9</f>
        <v>29633.81</v>
      </c>
      <c r="AA9" s="62"/>
      <c r="AB9" s="25"/>
      <c r="AC9" s="62"/>
      <c r="AD9" s="62">
        <f>'CCA &amp; Cap Tax'!$W$9</f>
        <v>0</v>
      </c>
      <c r="AE9" s="62"/>
      <c r="AF9" s="25"/>
      <c r="AG9" s="62"/>
      <c r="AH9" s="62">
        <f>'CCA &amp; Cap Tax'!$Z$9</f>
        <v>0</v>
      </c>
      <c r="AI9" s="62"/>
      <c r="AJ9" s="25"/>
      <c r="AK9" s="62"/>
      <c r="AL9" s="62">
        <f>'CCA &amp; Cap Tax'!$AC$9</f>
        <v>0</v>
      </c>
      <c r="AM9" s="62"/>
      <c r="AN9" s="25"/>
      <c r="AO9" s="62"/>
      <c r="AP9" s="62">
        <f>'CCA &amp; Cap Tax'!$AF$9</f>
        <v>0</v>
      </c>
      <c r="AQ9" s="62"/>
      <c r="AR9" s="25"/>
      <c r="AS9" s="62"/>
      <c r="AT9" s="62">
        <f>'CCA &amp; Cap Tax'!$AI$9</f>
        <v>0</v>
      </c>
      <c r="AU9" s="62"/>
      <c r="AV9" s="25"/>
      <c r="AW9" s="62"/>
      <c r="AX9" s="62">
        <f>'CCA &amp; Cap Tax'!$AL$9</f>
        <v>0</v>
      </c>
      <c r="AY9" s="62"/>
      <c r="AZ9" s="25"/>
      <c r="BA9" s="62"/>
      <c r="BB9" s="62">
        <f>'CCA &amp; Cap Tax'!$AO$9</f>
        <v>0</v>
      </c>
      <c r="BC9" s="62"/>
      <c r="BD9" s="25"/>
      <c r="BE9" s="62"/>
      <c r="BF9" s="62">
        <f>'CCA &amp; Cap Tax'!$AR$9</f>
        <v>0</v>
      </c>
      <c r="BG9" s="62"/>
      <c r="BH9" s="25"/>
      <c r="BI9" s="62"/>
      <c r="BJ9" s="62">
        <f>'CCA &amp; Cap Tax'!$AU$9</f>
        <v>0</v>
      </c>
      <c r="BK9" s="62"/>
      <c r="BL9" s="25"/>
      <c r="BM9" s="62"/>
      <c r="BN9" s="62">
        <f>'CCA &amp; Cap Tax'!$AX$9</f>
        <v>0</v>
      </c>
      <c r="BO9" s="62"/>
      <c r="BP9" s="25"/>
      <c r="BQ9" s="62"/>
      <c r="BR9" s="62">
        <f>'CCA &amp; Cap Tax'!$BA$9</f>
        <v>0</v>
      </c>
      <c r="BS9" s="62"/>
      <c r="BT9" s="25"/>
      <c r="BU9" s="62"/>
      <c r="BV9" s="62">
        <f>'CCA &amp; Cap Tax'!$BD$9</f>
        <v>0</v>
      </c>
      <c r="BW9" s="62"/>
      <c r="BX9" s="25"/>
      <c r="BY9" s="62"/>
      <c r="BZ9" s="62">
        <f>'CCA &amp; Cap Tax'!$BG$9</f>
        <v>0</v>
      </c>
      <c r="CA9" s="62"/>
      <c r="CB9" s="25"/>
      <c r="CC9" s="25"/>
      <c r="CD9" s="35"/>
      <c r="CE9" s="35"/>
    </row>
    <row r="10" spans="1:92" x14ac:dyDescent="0.2">
      <c r="A10" s="4">
        <f>A9+1</f>
        <v>2023</v>
      </c>
      <c r="B10" s="62">
        <f>'CCA &amp; Cap Tax'!$B$10</f>
        <v>0</v>
      </c>
      <c r="C10" s="62"/>
      <c r="D10" s="62"/>
      <c r="E10" s="62"/>
      <c r="F10" s="62">
        <f>'CCA &amp; Cap Tax'!$E$10</f>
        <v>0</v>
      </c>
      <c r="G10" s="62"/>
      <c r="H10" s="62"/>
      <c r="I10" s="62"/>
      <c r="J10" s="62">
        <f>'CCA &amp; Cap Tax'!$H$10</f>
        <v>0</v>
      </c>
      <c r="K10" s="62"/>
      <c r="L10" s="62"/>
      <c r="M10" s="62"/>
      <c r="N10" s="62">
        <f>'CCA &amp; Cap Tax'!$K$10</f>
        <v>0</v>
      </c>
      <c r="O10" s="62"/>
      <c r="P10" s="62"/>
      <c r="Q10" s="62"/>
      <c r="R10" s="62">
        <f>'CCA &amp; Cap Tax'!$N$10</f>
        <v>0</v>
      </c>
      <c r="S10" s="62"/>
      <c r="T10" s="62"/>
      <c r="U10" s="62"/>
      <c r="V10" s="62">
        <f>'CCA &amp; Cap Tax'!$Q$10</f>
        <v>0</v>
      </c>
      <c r="W10" s="62"/>
      <c r="X10" s="25"/>
      <c r="Y10" s="62"/>
      <c r="Z10" s="62">
        <f>'CCA &amp; Cap Tax'!$T$10</f>
        <v>0</v>
      </c>
      <c r="AA10" s="62"/>
      <c r="AB10" s="25"/>
      <c r="AC10" s="62"/>
      <c r="AD10" s="62">
        <f>'CCA &amp; Cap Tax'!$W$10</f>
        <v>0</v>
      </c>
      <c r="AE10" s="62"/>
      <c r="AF10" s="25"/>
      <c r="AG10" s="62"/>
      <c r="AH10" s="62">
        <f>'CCA &amp; Cap Tax'!$Z$10</f>
        <v>0</v>
      </c>
      <c r="AI10" s="62"/>
      <c r="AJ10" s="25"/>
      <c r="AK10" s="62"/>
      <c r="AL10" s="62">
        <f>'CCA &amp; Cap Tax'!$AC$10</f>
        <v>0</v>
      </c>
      <c r="AM10" s="62"/>
      <c r="AN10" s="25"/>
      <c r="AO10" s="62"/>
      <c r="AP10" s="62">
        <f>'CCA &amp; Cap Tax'!$AF$10</f>
        <v>0</v>
      </c>
      <c r="AQ10" s="62"/>
      <c r="AR10" s="25"/>
      <c r="AS10" s="62"/>
      <c r="AT10" s="62">
        <f>'CCA &amp; Cap Tax'!$AI$10</f>
        <v>0</v>
      </c>
      <c r="AU10" s="62"/>
      <c r="AV10" s="25"/>
      <c r="AW10" s="62"/>
      <c r="AX10" s="62">
        <f>'CCA &amp; Cap Tax'!$AL$10</f>
        <v>0</v>
      </c>
      <c r="AY10" s="62"/>
      <c r="AZ10" s="25"/>
      <c r="BA10" s="62"/>
      <c r="BB10" s="62">
        <f>'CCA &amp; Cap Tax'!$AO$10</f>
        <v>0</v>
      </c>
      <c r="BC10" s="62"/>
      <c r="BD10" s="25"/>
      <c r="BE10" s="62"/>
      <c r="BF10" s="62">
        <f>'CCA &amp; Cap Tax'!$AR$10</f>
        <v>0</v>
      </c>
      <c r="BG10" s="62"/>
      <c r="BH10" s="25"/>
      <c r="BI10" s="62"/>
      <c r="BJ10" s="62">
        <f>'CCA &amp; Cap Tax'!$AU$10</f>
        <v>0</v>
      </c>
      <c r="BK10" s="62"/>
      <c r="BL10" s="25"/>
      <c r="BM10" s="62"/>
      <c r="BN10" s="62">
        <f>'CCA &amp; Cap Tax'!$AX$10</f>
        <v>0</v>
      </c>
      <c r="BO10" s="62"/>
      <c r="BP10" s="25"/>
      <c r="BQ10" s="62"/>
      <c r="BR10" s="62">
        <f>'CCA &amp; Cap Tax'!$BA$10</f>
        <v>0</v>
      </c>
      <c r="BS10" s="62"/>
      <c r="BT10" s="25"/>
      <c r="BU10" s="62"/>
      <c r="BV10" s="62">
        <f>'CCA &amp; Cap Tax'!$BD$10</f>
        <v>0</v>
      </c>
      <c r="BW10" s="62"/>
      <c r="BX10" s="25"/>
      <c r="BY10" s="62"/>
      <c r="BZ10" s="62">
        <f>'CCA &amp; Cap Tax'!$BG$10</f>
        <v>0</v>
      </c>
      <c r="CA10" s="62"/>
      <c r="CB10" s="25"/>
      <c r="CC10" s="25"/>
      <c r="CD10" s="35"/>
      <c r="CE10" s="35"/>
    </row>
    <row r="11" spans="1:92" x14ac:dyDescent="0.2">
      <c r="A11" s="4">
        <f>A10+1</f>
        <v>2024</v>
      </c>
      <c r="B11" s="62">
        <f>'CCA &amp; Cap Tax'!$B$11</f>
        <v>0</v>
      </c>
      <c r="C11" s="62"/>
      <c r="D11" s="62"/>
      <c r="E11" s="62"/>
      <c r="F11" s="62">
        <f>'CCA &amp; Cap Tax'!$E$11</f>
        <v>0</v>
      </c>
      <c r="G11" s="62"/>
      <c r="H11" s="62"/>
      <c r="I11" s="62"/>
      <c r="J11" s="62">
        <f>'CCA &amp; Cap Tax'!$H$11</f>
        <v>0</v>
      </c>
      <c r="K11" s="62"/>
      <c r="L11" s="62"/>
      <c r="M11" s="62"/>
      <c r="N11" s="62">
        <f>'CCA &amp; Cap Tax'!$K$11</f>
        <v>0</v>
      </c>
      <c r="O11" s="62"/>
      <c r="P11" s="62"/>
      <c r="Q11" s="62"/>
      <c r="R11" s="62">
        <f>'CCA &amp; Cap Tax'!$N$11</f>
        <v>0</v>
      </c>
      <c r="S11" s="62"/>
      <c r="T11" s="62"/>
      <c r="U11" s="62"/>
      <c r="V11" s="62">
        <f>'CCA &amp; Cap Tax'!$Q$11</f>
        <v>0</v>
      </c>
      <c r="W11" s="62"/>
      <c r="X11" s="25"/>
      <c r="Y11" s="62"/>
      <c r="Z11" s="62">
        <f>'CCA &amp; Cap Tax'!$T$11</f>
        <v>0</v>
      </c>
      <c r="AA11" s="62"/>
      <c r="AB11" s="25"/>
      <c r="AC11" s="62"/>
      <c r="AD11" s="62">
        <f>'CCA &amp; Cap Tax'!$W$11</f>
        <v>0</v>
      </c>
      <c r="AE11" s="62"/>
      <c r="AF11" s="25"/>
      <c r="AG11" s="62"/>
      <c r="AH11" s="62">
        <f>'CCA &amp; Cap Tax'!$Z$11</f>
        <v>0</v>
      </c>
      <c r="AI11" s="62"/>
      <c r="AJ11" s="25"/>
      <c r="AK11" s="62"/>
      <c r="AL11" s="62">
        <f>'CCA &amp; Cap Tax'!$AC$11</f>
        <v>0</v>
      </c>
      <c r="AM11" s="62"/>
      <c r="AN11" s="25"/>
      <c r="AO11" s="62"/>
      <c r="AP11" s="62">
        <f>'CCA &amp; Cap Tax'!$AF$11</f>
        <v>0</v>
      </c>
      <c r="AQ11" s="62"/>
      <c r="AR11" s="25"/>
      <c r="AS11" s="62"/>
      <c r="AT11" s="62">
        <f>'CCA &amp; Cap Tax'!$AI$11</f>
        <v>0</v>
      </c>
      <c r="AU11" s="62"/>
      <c r="AV11" s="25"/>
      <c r="AW11" s="62"/>
      <c r="AX11" s="62">
        <f>'CCA &amp; Cap Tax'!$AL$11</f>
        <v>0</v>
      </c>
      <c r="AY11" s="62"/>
      <c r="AZ11" s="25"/>
      <c r="BA11" s="62"/>
      <c r="BB11" s="62">
        <f>'CCA &amp; Cap Tax'!$AO$11</f>
        <v>0</v>
      </c>
      <c r="BC11" s="62"/>
      <c r="BD11" s="25"/>
      <c r="BE11" s="62"/>
      <c r="BF11" s="62">
        <f>'CCA &amp; Cap Tax'!$AR$11</f>
        <v>0</v>
      </c>
      <c r="BG11" s="62"/>
      <c r="BH11" s="25"/>
      <c r="BI11" s="62"/>
      <c r="BJ11" s="62">
        <f>'CCA &amp; Cap Tax'!$AU$11</f>
        <v>0</v>
      </c>
      <c r="BK11" s="62"/>
      <c r="BL11" s="25"/>
      <c r="BM11" s="62"/>
      <c r="BN11" s="62">
        <f>'CCA &amp; Cap Tax'!$AX$11</f>
        <v>0</v>
      </c>
      <c r="BO11" s="62"/>
      <c r="BP11" s="25"/>
      <c r="BQ11" s="62"/>
      <c r="BR11" s="62">
        <f>'CCA &amp; Cap Tax'!$BA$11</f>
        <v>0</v>
      </c>
      <c r="BS11" s="62"/>
      <c r="BT11" s="25"/>
      <c r="BU11" s="62"/>
      <c r="BV11" s="62">
        <f>'CCA &amp; Cap Tax'!$BD$11</f>
        <v>0</v>
      </c>
      <c r="BW11" s="62"/>
      <c r="BX11" s="25"/>
      <c r="BY11" s="62"/>
      <c r="BZ11" s="62">
        <f>'CCA &amp; Cap Tax'!$BG$11</f>
        <v>0</v>
      </c>
      <c r="CA11" s="62"/>
      <c r="CB11" s="25"/>
      <c r="CC11" s="25"/>
      <c r="CD11" s="35"/>
      <c r="CE11" s="35"/>
    </row>
    <row r="12" spans="1:92" x14ac:dyDescent="0.2">
      <c r="A12" s="4">
        <f>A11+1</f>
        <v>2025</v>
      </c>
      <c r="B12" s="62">
        <f>'CCA &amp; Cap Tax'!$B$12</f>
        <v>0</v>
      </c>
      <c r="C12" s="62"/>
      <c r="D12" s="62"/>
      <c r="E12" s="62"/>
      <c r="F12" s="62">
        <f>'CCA &amp; Cap Tax'!$E$12</f>
        <v>0</v>
      </c>
      <c r="G12" s="62"/>
      <c r="H12" s="62"/>
      <c r="I12" s="62"/>
      <c r="J12" s="62">
        <f>'CCA &amp; Cap Tax'!$H$12</f>
        <v>0</v>
      </c>
      <c r="K12" s="62"/>
      <c r="L12" s="62"/>
      <c r="M12" s="62"/>
      <c r="N12" s="62">
        <f>'CCA &amp; Cap Tax'!$K$12</f>
        <v>0</v>
      </c>
      <c r="O12" s="62"/>
      <c r="P12" s="62"/>
      <c r="Q12" s="62"/>
      <c r="R12" s="62">
        <f>'CCA &amp; Cap Tax'!$N$12</f>
        <v>0</v>
      </c>
      <c r="S12" s="62"/>
      <c r="T12" s="62"/>
      <c r="U12" s="62"/>
      <c r="V12" s="62">
        <f>'CCA &amp; Cap Tax'!$Q$12</f>
        <v>0</v>
      </c>
      <c r="W12" s="62"/>
      <c r="X12" s="25"/>
      <c r="Y12" s="62"/>
      <c r="Z12" s="62">
        <f>'CCA &amp; Cap Tax'!$T$12</f>
        <v>0</v>
      </c>
      <c r="AA12" s="62"/>
      <c r="AB12" s="25"/>
      <c r="AC12" s="62"/>
      <c r="AD12" s="62">
        <f>'CCA &amp; Cap Tax'!$W$12</f>
        <v>0</v>
      </c>
      <c r="AE12" s="62"/>
      <c r="AF12" s="25"/>
      <c r="AG12" s="62"/>
      <c r="AH12" s="62">
        <f>'CCA &amp; Cap Tax'!$Z$12</f>
        <v>0</v>
      </c>
      <c r="AI12" s="62"/>
      <c r="AJ12" s="25"/>
      <c r="AK12" s="62"/>
      <c r="AL12" s="62">
        <f>'CCA &amp; Cap Tax'!$AC$12</f>
        <v>0</v>
      </c>
      <c r="AM12" s="62"/>
      <c r="AN12" s="25"/>
      <c r="AO12" s="62"/>
      <c r="AP12" s="62">
        <f>'CCA &amp; Cap Tax'!$AF$12</f>
        <v>0</v>
      </c>
      <c r="AQ12" s="62"/>
      <c r="AR12" s="25"/>
      <c r="AS12" s="62"/>
      <c r="AT12" s="62">
        <f>'CCA &amp; Cap Tax'!$AI$12</f>
        <v>0</v>
      </c>
      <c r="AU12" s="62"/>
      <c r="AV12" s="25"/>
      <c r="AW12" s="62"/>
      <c r="AX12" s="62">
        <f>'CCA &amp; Cap Tax'!$AL$12</f>
        <v>0</v>
      </c>
      <c r="AY12" s="62"/>
      <c r="AZ12" s="25"/>
      <c r="BA12" s="62"/>
      <c r="BB12" s="62">
        <f>'CCA &amp; Cap Tax'!$AO$12</f>
        <v>0</v>
      </c>
      <c r="BC12" s="62"/>
      <c r="BD12" s="25"/>
      <c r="BE12" s="62"/>
      <c r="BF12" s="62">
        <f>'CCA &amp; Cap Tax'!$AR$12</f>
        <v>0</v>
      </c>
      <c r="BG12" s="62"/>
      <c r="BH12" s="25"/>
      <c r="BI12" s="62"/>
      <c r="BJ12" s="62">
        <f>'CCA &amp; Cap Tax'!$AU$12</f>
        <v>0</v>
      </c>
      <c r="BK12" s="62"/>
      <c r="BL12" s="25"/>
      <c r="BM12" s="62"/>
      <c r="BN12" s="62">
        <f>'CCA &amp; Cap Tax'!$AX$12</f>
        <v>0</v>
      </c>
      <c r="BO12" s="62"/>
      <c r="BP12" s="25"/>
      <c r="BQ12" s="62"/>
      <c r="BR12" s="62">
        <f>'CCA &amp; Cap Tax'!$BA$12</f>
        <v>0</v>
      </c>
      <c r="BS12" s="62"/>
      <c r="BT12" s="25"/>
      <c r="BU12" s="62"/>
      <c r="BV12" s="62">
        <f>'CCA &amp; Cap Tax'!$BD$12</f>
        <v>0</v>
      </c>
      <c r="BW12" s="62"/>
      <c r="BX12" s="25"/>
      <c r="BY12" s="62"/>
      <c r="BZ12" s="62">
        <f>'CCA &amp; Cap Tax'!$BG$12</f>
        <v>0</v>
      </c>
      <c r="CA12" s="62"/>
      <c r="CB12" s="25"/>
      <c r="CC12" s="25"/>
      <c r="CD12" s="35"/>
      <c r="CE12" s="35"/>
    </row>
    <row r="13" spans="1:92" x14ac:dyDescent="0.2">
      <c r="A13" s="4">
        <f>A12+1</f>
        <v>2026</v>
      </c>
      <c r="B13" s="62">
        <f>'CCA &amp; Cap Tax'!$B$13</f>
        <v>0</v>
      </c>
      <c r="C13" s="62"/>
      <c r="D13" s="62"/>
      <c r="E13" s="62"/>
      <c r="F13" s="62">
        <f>'CCA &amp; Cap Tax'!$E$13</f>
        <v>0</v>
      </c>
      <c r="G13" s="62"/>
      <c r="H13" s="62"/>
      <c r="I13" s="62"/>
      <c r="J13" s="62">
        <f>'CCA &amp; Cap Tax'!$H$13</f>
        <v>0</v>
      </c>
      <c r="K13" s="62"/>
      <c r="L13" s="62"/>
      <c r="M13" s="62"/>
      <c r="N13" s="62">
        <f>'CCA &amp; Cap Tax'!$K$13</f>
        <v>0</v>
      </c>
      <c r="O13" s="62"/>
      <c r="P13" s="62"/>
      <c r="Q13" s="62"/>
      <c r="R13" s="62">
        <f>'CCA &amp; Cap Tax'!$N$13</f>
        <v>0</v>
      </c>
      <c r="S13" s="62"/>
      <c r="T13" s="62"/>
      <c r="U13" s="62"/>
      <c r="V13" s="62">
        <f>'CCA &amp; Cap Tax'!$Q$13</f>
        <v>0</v>
      </c>
      <c r="W13" s="62"/>
      <c r="X13" s="25"/>
      <c r="Y13" s="62"/>
      <c r="Z13" s="62">
        <f>'CCA &amp; Cap Tax'!$T$13</f>
        <v>0</v>
      </c>
      <c r="AA13" s="62"/>
      <c r="AB13" s="25"/>
      <c r="AC13" s="62"/>
      <c r="AD13" s="62">
        <f>'CCA &amp; Cap Tax'!$W$13</f>
        <v>0</v>
      </c>
      <c r="AE13" s="62"/>
      <c r="AF13" s="25"/>
      <c r="AG13" s="62"/>
      <c r="AH13" s="62">
        <f>'CCA &amp; Cap Tax'!$Z$13</f>
        <v>0</v>
      </c>
      <c r="AI13" s="62"/>
      <c r="AJ13" s="25"/>
      <c r="AK13" s="62"/>
      <c r="AL13" s="62">
        <f>'CCA &amp; Cap Tax'!$AC$13</f>
        <v>0</v>
      </c>
      <c r="AM13" s="62"/>
      <c r="AN13" s="25"/>
      <c r="AO13" s="62"/>
      <c r="AP13" s="62">
        <f>'CCA &amp; Cap Tax'!$AF$13</f>
        <v>0</v>
      </c>
      <c r="AQ13" s="62"/>
      <c r="AR13" s="25"/>
      <c r="AS13" s="62"/>
      <c r="AT13" s="62">
        <f>'CCA &amp; Cap Tax'!$AI$13</f>
        <v>0</v>
      </c>
      <c r="AU13" s="62"/>
      <c r="AV13" s="25"/>
      <c r="AW13" s="62"/>
      <c r="AX13" s="62">
        <f>'CCA &amp; Cap Tax'!$AL$13</f>
        <v>0</v>
      </c>
      <c r="AY13" s="62"/>
      <c r="AZ13" s="25"/>
      <c r="BA13" s="62"/>
      <c r="BB13" s="62">
        <f>'CCA &amp; Cap Tax'!$AO$13</f>
        <v>0</v>
      </c>
      <c r="BC13" s="62"/>
      <c r="BD13" s="25"/>
      <c r="BE13" s="62"/>
      <c r="BF13" s="62">
        <f>'CCA &amp; Cap Tax'!$AR$13</f>
        <v>0</v>
      </c>
      <c r="BG13" s="62"/>
      <c r="BH13" s="25"/>
      <c r="BI13" s="62"/>
      <c r="BJ13" s="62">
        <f>'CCA &amp; Cap Tax'!$AU$13</f>
        <v>0</v>
      </c>
      <c r="BK13" s="62"/>
      <c r="BL13" s="25"/>
      <c r="BM13" s="62"/>
      <c r="BN13" s="62">
        <f>'CCA &amp; Cap Tax'!$AX$13</f>
        <v>0</v>
      </c>
      <c r="BO13" s="62"/>
      <c r="BP13" s="25"/>
      <c r="BQ13" s="62"/>
      <c r="BR13" s="62">
        <f>'CCA &amp; Cap Tax'!$BA$13</f>
        <v>0</v>
      </c>
      <c r="BS13" s="62"/>
      <c r="BT13" s="25"/>
      <c r="BU13" s="62"/>
      <c r="BV13" s="62">
        <f>'CCA &amp; Cap Tax'!$BD$13</f>
        <v>0</v>
      </c>
      <c r="BW13" s="62"/>
      <c r="BX13" s="25"/>
      <c r="BY13" s="62"/>
      <c r="BZ13" s="62">
        <f>'CCA &amp; Cap Tax'!$BG$13</f>
        <v>0</v>
      </c>
      <c r="CA13" s="62"/>
      <c r="CB13" s="25"/>
      <c r="CC13" s="25"/>
      <c r="CD13" s="35"/>
      <c r="CE13" s="35"/>
    </row>
    <row r="14" spans="1:92" x14ac:dyDescent="0.2">
      <c r="D14" s="4" t="s">
        <v>70</v>
      </c>
      <c r="H14" s="4" t="s">
        <v>70</v>
      </c>
      <c r="L14" s="4" t="s">
        <v>70</v>
      </c>
      <c r="P14" s="4" t="s">
        <v>70</v>
      </c>
      <c r="T14" s="4" t="s">
        <v>70</v>
      </c>
      <c r="X14" s="4" t="s">
        <v>70</v>
      </c>
      <c r="AB14" s="4" t="s">
        <v>70</v>
      </c>
      <c r="AF14" s="4" t="s">
        <v>70</v>
      </c>
      <c r="AJ14" s="4" t="s">
        <v>70</v>
      </c>
      <c r="AN14" s="4" t="s">
        <v>70</v>
      </c>
      <c r="AR14" s="4" t="s">
        <v>70</v>
      </c>
      <c r="AV14" s="4" t="s">
        <v>70</v>
      </c>
      <c r="AZ14" s="4" t="s">
        <v>70</v>
      </c>
      <c r="BD14" s="4" t="s">
        <v>70</v>
      </c>
      <c r="BH14" s="4" t="s">
        <v>70</v>
      </c>
      <c r="BL14" s="4" t="s">
        <v>70</v>
      </c>
      <c r="BP14" s="4" t="s">
        <v>70</v>
      </c>
      <c r="BT14" s="4" t="s">
        <v>70</v>
      </c>
      <c r="BX14" s="4" t="s">
        <v>70</v>
      </c>
      <c r="CB14" s="4" t="s">
        <v>70</v>
      </c>
      <c r="CF14" s="4" t="s">
        <v>70</v>
      </c>
      <c r="CG14" s="4" t="s">
        <v>109</v>
      </c>
      <c r="CI14" s="4" t="s">
        <v>109</v>
      </c>
      <c r="CJ14" s="376" t="s">
        <v>211</v>
      </c>
      <c r="CK14" s="376"/>
      <c r="CL14" s="4" t="s">
        <v>15</v>
      </c>
      <c r="CM14" s="4" t="s">
        <v>73</v>
      </c>
      <c r="CN14" s="4" t="s">
        <v>73</v>
      </c>
    </row>
    <row r="15" spans="1:92" x14ac:dyDescent="0.2">
      <c r="B15" s="4" t="s">
        <v>71</v>
      </c>
      <c r="C15" s="4" t="s">
        <v>59</v>
      </c>
      <c r="D15" s="4" t="s">
        <v>59</v>
      </c>
      <c r="E15" s="4" t="s">
        <v>72</v>
      </c>
      <c r="F15" s="4" t="s">
        <v>71</v>
      </c>
      <c r="G15" s="4" t="s">
        <v>59</v>
      </c>
      <c r="H15" s="4" t="s">
        <v>59</v>
      </c>
      <c r="I15" s="4" t="s">
        <v>72</v>
      </c>
      <c r="J15" s="4" t="s">
        <v>71</v>
      </c>
      <c r="K15" s="4" t="s">
        <v>59</v>
      </c>
      <c r="L15" s="4" t="s">
        <v>59</v>
      </c>
      <c r="M15" s="4" t="s">
        <v>72</v>
      </c>
      <c r="N15" s="4" t="s">
        <v>71</v>
      </c>
      <c r="O15" s="4" t="s">
        <v>59</v>
      </c>
      <c r="P15" s="4" t="s">
        <v>59</v>
      </c>
      <c r="Q15" s="4" t="s">
        <v>72</v>
      </c>
      <c r="R15" s="4" t="s">
        <v>71</v>
      </c>
      <c r="S15" s="4" t="s">
        <v>59</v>
      </c>
      <c r="T15" s="4" t="s">
        <v>59</v>
      </c>
      <c r="U15" s="4" t="s">
        <v>72</v>
      </c>
      <c r="V15" s="4" t="s">
        <v>71</v>
      </c>
      <c r="W15" s="4" t="s">
        <v>59</v>
      </c>
      <c r="X15" s="4" t="s">
        <v>59</v>
      </c>
      <c r="Y15" s="4" t="s">
        <v>72</v>
      </c>
      <c r="Z15" s="4" t="s">
        <v>71</v>
      </c>
      <c r="AA15" s="4" t="s">
        <v>59</v>
      </c>
      <c r="AB15" s="4" t="s">
        <v>59</v>
      </c>
      <c r="AC15" s="4" t="s">
        <v>72</v>
      </c>
      <c r="AD15" s="4" t="s">
        <v>71</v>
      </c>
      <c r="AE15" s="4" t="s">
        <v>59</v>
      </c>
      <c r="AF15" s="4" t="s">
        <v>59</v>
      </c>
      <c r="AG15" s="4" t="s">
        <v>72</v>
      </c>
      <c r="AH15" s="4" t="s">
        <v>71</v>
      </c>
      <c r="AI15" s="4" t="s">
        <v>59</v>
      </c>
      <c r="AJ15" s="4" t="s">
        <v>59</v>
      </c>
      <c r="AK15" s="4" t="s">
        <v>72</v>
      </c>
      <c r="AL15" s="4" t="s">
        <v>71</v>
      </c>
      <c r="AM15" s="4" t="s">
        <v>59</v>
      </c>
      <c r="AN15" s="4" t="s">
        <v>59</v>
      </c>
      <c r="AO15" s="4" t="s">
        <v>72</v>
      </c>
      <c r="AP15" s="4" t="s">
        <v>71</v>
      </c>
      <c r="AQ15" s="4" t="s">
        <v>59</v>
      </c>
      <c r="AR15" s="4" t="s">
        <v>59</v>
      </c>
      <c r="AS15" s="4" t="s">
        <v>72</v>
      </c>
      <c r="AT15" s="4" t="s">
        <v>71</v>
      </c>
      <c r="AU15" s="4" t="s">
        <v>59</v>
      </c>
      <c r="AV15" s="4" t="s">
        <v>59</v>
      </c>
      <c r="AW15" s="4" t="s">
        <v>72</v>
      </c>
      <c r="AX15" s="4" t="s">
        <v>71</v>
      </c>
      <c r="AY15" s="4" t="s">
        <v>59</v>
      </c>
      <c r="AZ15" s="4" t="s">
        <v>59</v>
      </c>
      <c r="BA15" s="4" t="s">
        <v>72</v>
      </c>
      <c r="BB15" s="4" t="s">
        <v>71</v>
      </c>
      <c r="BC15" s="4" t="s">
        <v>59</v>
      </c>
      <c r="BD15" s="4" t="s">
        <v>59</v>
      </c>
      <c r="BE15" s="4" t="s">
        <v>72</v>
      </c>
      <c r="BF15" s="4" t="s">
        <v>71</v>
      </c>
      <c r="BG15" s="4" t="s">
        <v>59</v>
      </c>
      <c r="BH15" s="4" t="s">
        <v>59</v>
      </c>
      <c r="BI15" s="4" t="s">
        <v>72</v>
      </c>
      <c r="BJ15" s="4" t="s">
        <v>71</v>
      </c>
      <c r="BK15" s="4" t="s">
        <v>59</v>
      </c>
      <c r="BL15" s="4" t="s">
        <v>59</v>
      </c>
      <c r="BM15" s="4" t="s">
        <v>72</v>
      </c>
      <c r="BN15" s="4" t="s">
        <v>71</v>
      </c>
      <c r="BO15" s="4" t="s">
        <v>59</v>
      </c>
      <c r="BP15" s="4" t="s">
        <v>59</v>
      </c>
      <c r="BQ15" s="4" t="s">
        <v>72</v>
      </c>
      <c r="BR15" s="4" t="s">
        <v>71</v>
      </c>
      <c r="BS15" s="4" t="s">
        <v>59</v>
      </c>
      <c r="BT15" s="4" t="s">
        <v>59</v>
      </c>
      <c r="BU15" s="4" t="s">
        <v>72</v>
      </c>
      <c r="BV15" s="4" t="s">
        <v>71</v>
      </c>
      <c r="BW15" s="4" t="s">
        <v>59</v>
      </c>
      <c r="BX15" s="4" t="s">
        <v>59</v>
      </c>
      <c r="BY15" s="4" t="s">
        <v>72</v>
      </c>
      <c r="BZ15" s="4" t="s">
        <v>71</v>
      </c>
      <c r="CA15" s="4" t="s">
        <v>59</v>
      </c>
      <c r="CB15" s="4" t="s">
        <v>59</v>
      </c>
      <c r="CC15" s="4" t="s">
        <v>72</v>
      </c>
      <c r="CD15" s="4" t="s">
        <v>71</v>
      </c>
      <c r="CE15" s="4" t="s">
        <v>59</v>
      </c>
      <c r="CF15" s="4" t="s">
        <v>59</v>
      </c>
      <c r="CG15" s="4" t="s">
        <v>110</v>
      </c>
      <c r="CH15" s="4" t="s">
        <v>93</v>
      </c>
      <c r="CI15" s="4" t="s">
        <v>111</v>
      </c>
      <c r="CJ15" s="4" t="s">
        <v>212</v>
      </c>
      <c r="CK15" s="4" t="s">
        <v>213</v>
      </c>
      <c r="CL15" s="4" t="s">
        <v>85</v>
      </c>
      <c r="CM15" s="4" t="s">
        <v>33</v>
      </c>
      <c r="CN15" s="4" t="s">
        <v>57</v>
      </c>
    </row>
    <row r="16" spans="1:92" x14ac:dyDescent="0.2">
      <c r="A16" s="4">
        <f>A9</f>
        <v>2022</v>
      </c>
      <c r="B16" s="62">
        <f>B9</f>
        <v>0</v>
      </c>
      <c r="C16" s="62">
        <f>B16*'Baseline Inputs'!$B$252/100/2</f>
        <v>0</v>
      </c>
      <c r="D16" s="62">
        <f>C16</f>
        <v>0</v>
      </c>
      <c r="E16" s="62">
        <f>MAX(0,B16-D16)</f>
        <v>0</v>
      </c>
      <c r="F16" s="62">
        <f>F9</f>
        <v>0</v>
      </c>
      <c r="G16" s="62">
        <f>F16*'Baseline Inputs'!$B$253/100/2</f>
        <v>0</v>
      </c>
      <c r="H16" s="62">
        <f>G16</f>
        <v>0</v>
      </c>
      <c r="I16" s="62">
        <f>MAX(0,F16-H16)</f>
        <v>0</v>
      </c>
      <c r="J16" s="62">
        <f>J9</f>
        <v>0</v>
      </c>
      <c r="K16" s="62">
        <f>J16*'Baseline Inputs'!$B$254/100/2</f>
        <v>0</v>
      </c>
      <c r="L16" s="62">
        <f>K16</f>
        <v>0</v>
      </c>
      <c r="M16" s="62">
        <f>MAX(0,J16-L16)</f>
        <v>0</v>
      </c>
      <c r="N16" s="62">
        <f>N9</f>
        <v>0</v>
      </c>
      <c r="O16" s="62">
        <f>N16*'Baseline Inputs'!$B$255/100/2</f>
        <v>0</v>
      </c>
      <c r="P16" s="62">
        <f>O16</f>
        <v>0</v>
      </c>
      <c r="Q16" s="62">
        <f>MAX(0,N16-P16)</f>
        <v>0</v>
      </c>
      <c r="R16" s="62">
        <f>R9</f>
        <v>12218.77</v>
      </c>
      <c r="S16" s="62">
        <f>R16*'Baseline Inputs'!$B$256/100/2</f>
        <v>203.44252050000003</v>
      </c>
      <c r="T16" s="62">
        <f>S16</f>
        <v>203.44252050000003</v>
      </c>
      <c r="U16" s="62">
        <f>MAX(0,R16-T16)</f>
        <v>12015.3274795</v>
      </c>
      <c r="V16" s="62">
        <f>V9</f>
        <v>9478.81</v>
      </c>
      <c r="W16" s="62">
        <f>V16*'Baseline Inputs'!$B$257/100/2</f>
        <v>142.18215000000001</v>
      </c>
      <c r="X16" s="62">
        <f>W16</f>
        <v>142.18215000000001</v>
      </c>
      <c r="Y16" s="62">
        <f>MAX(0,V16-X16)</f>
        <v>9336.6278499999989</v>
      </c>
      <c r="Z16" s="62">
        <f>Z9</f>
        <v>29633.81</v>
      </c>
      <c r="AA16" s="62">
        <f>Z16*'Baseline Inputs'!$B$258/100/2</f>
        <v>423.76348299999995</v>
      </c>
      <c r="AB16" s="62">
        <f>AA16</f>
        <v>423.76348299999995</v>
      </c>
      <c r="AC16" s="62">
        <f>MAX(0,Z16-AB16)</f>
        <v>29210.046517000002</v>
      </c>
      <c r="AD16" s="62">
        <f>AD9</f>
        <v>0</v>
      </c>
      <c r="AE16" s="62">
        <f>AD16*'Baseline Inputs'!$B$259/100/2</f>
        <v>0</v>
      </c>
      <c r="AF16" s="62">
        <f>AE16</f>
        <v>0</v>
      </c>
      <c r="AG16" s="62">
        <f>MAX(0,AD16-AF16)</f>
        <v>0</v>
      </c>
      <c r="AH16" s="62">
        <f>AH9</f>
        <v>0</v>
      </c>
      <c r="AI16" s="62">
        <f>AH16*'Baseline Inputs'!$B$260/100/2</f>
        <v>0</v>
      </c>
      <c r="AJ16" s="62">
        <f>AI16</f>
        <v>0</v>
      </c>
      <c r="AK16" s="62">
        <f>MAX(0,AH16-AJ16)</f>
        <v>0</v>
      </c>
      <c r="AL16" s="62">
        <f>AL9</f>
        <v>0</v>
      </c>
      <c r="AM16" s="62">
        <f>AL16*'Baseline Inputs'!$B$261/100/2</f>
        <v>0</v>
      </c>
      <c r="AN16" s="62">
        <f>AM16</f>
        <v>0</v>
      </c>
      <c r="AO16" s="62">
        <f>MAX(0,AL16-AN16)</f>
        <v>0</v>
      </c>
      <c r="AP16" s="62">
        <f>AP9</f>
        <v>0</v>
      </c>
      <c r="AQ16" s="62">
        <f>AP16*'Baseline Inputs'!$B$264/100/2</f>
        <v>0</v>
      </c>
      <c r="AR16" s="62">
        <f>AQ16</f>
        <v>0</v>
      </c>
      <c r="AS16" s="62">
        <f>MAX(0,AP16-AR16)</f>
        <v>0</v>
      </c>
      <c r="AT16" s="62">
        <f>AT9</f>
        <v>0</v>
      </c>
      <c r="AU16" s="62">
        <f>AT16*'Baseline Inputs'!$B$265/100/2</f>
        <v>0</v>
      </c>
      <c r="AV16" s="62">
        <f>AU16</f>
        <v>0</v>
      </c>
      <c r="AW16" s="62">
        <f>MAX(0,AT16-AV16)</f>
        <v>0</v>
      </c>
      <c r="AX16" s="62">
        <f>AX9</f>
        <v>0</v>
      </c>
      <c r="AY16" s="62">
        <f>AX16*'Baseline Inputs'!$B$266/100/2</f>
        <v>0</v>
      </c>
      <c r="AZ16" s="62">
        <f>AY16</f>
        <v>0</v>
      </c>
      <c r="BA16" s="62">
        <f>MAX(0,AX16-AZ16)</f>
        <v>0</v>
      </c>
      <c r="BB16" s="62">
        <f>BB9</f>
        <v>0</v>
      </c>
      <c r="BC16" s="62">
        <f>BB16*'Baseline Inputs'!$B$267/100/2</f>
        <v>0</v>
      </c>
      <c r="BD16" s="62">
        <f>BC16</f>
        <v>0</v>
      </c>
      <c r="BE16" s="62">
        <f>MAX(0,BB16-BD16)</f>
        <v>0</v>
      </c>
      <c r="BF16" s="62">
        <f>BF9</f>
        <v>0</v>
      </c>
      <c r="BG16" s="62">
        <f>BF16*'Baseline Inputs'!$B$268/100/2</f>
        <v>0</v>
      </c>
      <c r="BH16" s="62">
        <f>BG16</f>
        <v>0</v>
      </c>
      <c r="BI16" s="62">
        <f>MAX(0,BF16-BH16)</f>
        <v>0</v>
      </c>
      <c r="BJ16" s="62">
        <f>BJ9</f>
        <v>0</v>
      </c>
      <c r="BK16" s="62">
        <f>BJ16*'Baseline Inputs'!$B$269/100/2</f>
        <v>0</v>
      </c>
      <c r="BL16" s="62">
        <f>BK16</f>
        <v>0</v>
      </c>
      <c r="BM16" s="62">
        <f>MAX(0,BJ16-BL16)</f>
        <v>0</v>
      </c>
      <c r="BN16" s="62">
        <f>BN9</f>
        <v>0</v>
      </c>
      <c r="BO16" s="62">
        <f>BN16*'Baseline Inputs'!$B$270/100/2</f>
        <v>0</v>
      </c>
      <c r="BP16" s="62">
        <f>BO16</f>
        <v>0</v>
      </c>
      <c r="BQ16" s="62">
        <f>MAX(0,BN16-BP16)</f>
        <v>0</v>
      </c>
      <c r="BR16" s="62">
        <f>BR9</f>
        <v>0</v>
      </c>
      <c r="BS16" s="62">
        <f>BR16*'Baseline Inputs'!$B$271/100/2</f>
        <v>0</v>
      </c>
      <c r="BT16" s="62">
        <f>BS16</f>
        <v>0</v>
      </c>
      <c r="BU16" s="62">
        <f>MAX(0,BR16-BT16)</f>
        <v>0</v>
      </c>
      <c r="BV16" s="62">
        <f>BV9</f>
        <v>0</v>
      </c>
      <c r="BW16" s="62">
        <f>BV16*'Baseline Inputs'!$B$272/100/2</f>
        <v>0</v>
      </c>
      <c r="BX16" s="62">
        <f>BW16</f>
        <v>0</v>
      </c>
      <c r="BY16" s="62">
        <f>MAX(0,BV16-BX16)</f>
        <v>0</v>
      </c>
      <c r="BZ16" s="62">
        <f>BZ9</f>
        <v>0</v>
      </c>
      <c r="CA16" s="62">
        <f>BZ16*'Baseline Inputs'!$B$273/100/2</f>
        <v>0</v>
      </c>
      <c r="CB16" s="62">
        <f>CA16</f>
        <v>0</v>
      </c>
      <c r="CC16" s="62">
        <f>MAX(0,BZ16-CB16)</f>
        <v>0</v>
      </c>
      <c r="CD16" s="62">
        <f t="shared" ref="CD16:CD40" si="0">B16+F16+J16+N16+R16+V16+Z16+AD16+AH16+AL16+AP16+AT16+AX16+BB16+BF16+BJ16+BN16+BR16+BV16+BZ16</f>
        <v>51331.39</v>
      </c>
      <c r="CE16" s="62">
        <f t="shared" ref="CE16:CE40" si="1">C16+G16+K16+O16+S16+W16+AA16+AE16+AI16+AM16+AQ16+AU16+AY16+BC16+BG16+BK16+BO16+BS16+BW16+CC16</f>
        <v>769.38815350000004</v>
      </c>
      <c r="CF16" s="62">
        <f t="shared" ref="CF16:CF40" si="2">D16+H16+L16+P16+T16+X16+AB16+AF16+AJ16+AN16+AR16+AV16+AZ16+BD16+BH16+BL16+BP16+BT16+BX16+CB16</f>
        <v>769.38815350000004</v>
      </c>
      <c r="CG16" s="62">
        <f t="shared" ref="CG16:CG40" si="3">E16+I16+M16+Q16+U16+Y16+AC16+AG16+AK16+AO16+AS16+AW16+BA16+BE16+BI16+BM16+BQ16+BU16+BY16+CC16</f>
        <v>50562.001846500003</v>
      </c>
      <c r="CH16" s="62">
        <f>'CCA &amp; Cap Tax'!BL16</f>
        <v>0</v>
      </c>
      <c r="CI16" s="62">
        <f>CG16+CH16</f>
        <v>50562.001846500003</v>
      </c>
      <c r="CJ16" s="40">
        <f>'Baseline Inputs'!$B$281/100</f>
        <v>0.56000000000000005</v>
      </c>
      <c r="CK16" s="40">
        <f>'Baseline Inputs'!$B$282/100</f>
        <v>0.04</v>
      </c>
      <c r="CL16" s="62">
        <f>CI16*(CJ16+CK16)</f>
        <v>30337.201107900008</v>
      </c>
      <c r="CM16" s="40">
        <f>'Baseline Inputs'!$B$283/100</f>
        <v>2.8500000000000001E-2</v>
      </c>
      <c r="CN16" s="62">
        <f>CL16*CM16</f>
        <v>864.61023157515024</v>
      </c>
    </row>
    <row r="17" spans="1:92" x14ac:dyDescent="0.2">
      <c r="A17" s="4">
        <f>A16+1</f>
        <v>2023</v>
      </c>
      <c r="B17" s="62">
        <f>B16+B10</f>
        <v>0</v>
      </c>
      <c r="C17" s="62">
        <f>(B17-B16)*'Baseline Inputs'!$B$252/100/2 + B16 *'Baseline Inputs'!$B$252/100</f>
        <v>0</v>
      </c>
      <c r="D17" s="62">
        <f>D16+C17</f>
        <v>0</v>
      </c>
      <c r="E17" s="62">
        <f t="shared" ref="E17:E40" si="4">MAX(0,B17-D17)</f>
        <v>0</v>
      </c>
      <c r="F17" s="62">
        <f>F16+F10</f>
        <v>0</v>
      </c>
      <c r="G17" s="62">
        <f>(F17-F16)*'Baseline Inputs'!$B$253/100/2 + F16 *'Baseline Inputs'!$B$253/100</f>
        <v>0</v>
      </c>
      <c r="H17" s="62">
        <f>H16+G17</f>
        <v>0</v>
      </c>
      <c r="I17" s="62">
        <f t="shared" ref="I17:I40" si="5">MAX(0,F17-H17)</f>
        <v>0</v>
      </c>
      <c r="J17" s="62">
        <f>J16+J10</f>
        <v>0</v>
      </c>
      <c r="K17" s="62">
        <f>(J17-J16)*'Baseline Inputs'!$B$254/100/2 + J16 *'Baseline Inputs'!$B$254/100</f>
        <v>0</v>
      </c>
      <c r="L17" s="62">
        <f>L16+K17</f>
        <v>0</v>
      </c>
      <c r="M17" s="62">
        <f t="shared" ref="M17:M40" si="6">MAX(0,J17-L17)</f>
        <v>0</v>
      </c>
      <c r="N17" s="62">
        <f>N16+N10</f>
        <v>0</v>
      </c>
      <c r="O17" s="62">
        <f>(N17-N16)*'Baseline Inputs'!$B$255/100/2 + N16 *'Baseline Inputs'!$B$255/100</f>
        <v>0</v>
      </c>
      <c r="P17" s="62">
        <f>P16+O17</f>
        <v>0</v>
      </c>
      <c r="Q17" s="62">
        <f t="shared" ref="Q17:Q40" si="7">MAX(0,N17-P17)</f>
        <v>0</v>
      </c>
      <c r="R17" s="62">
        <f>R16+R10</f>
        <v>12218.77</v>
      </c>
      <c r="S17" s="62">
        <f>(R17-R16)*'Baseline Inputs'!$B$256/100/2 + R16 *'Baseline Inputs'!$B$256/100</f>
        <v>406.88504100000006</v>
      </c>
      <c r="T17" s="62">
        <f>T16+S17</f>
        <v>610.32756150000012</v>
      </c>
      <c r="U17" s="62">
        <f t="shared" ref="U17:U40" si="8">MAX(0,R17-T17)</f>
        <v>11608.4424385</v>
      </c>
      <c r="V17" s="62">
        <f>V16+V10</f>
        <v>9478.81</v>
      </c>
      <c r="W17" s="62">
        <f>(V17-V16)*'Baseline Inputs'!$B$257/100/2 + V16 *'Baseline Inputs'!$B$257/100</f>
        <v>284.36430000000001</v>
      </c>
      <c r="X17" s="62">
        <f>X16+W17</f>
        <v>426.54645000000005</v>
      </c>
      <c r="Y17" s="62">
        <f t="shared" ref="Y17:Y40" si="9">MAX(0,V17-X17)</f>
        <v>9052.2635499999997</v>
      </c>
      <c r="Z17" s="62">
        <f>Z16+Z10</f>
        <v>29633.81</v>
      </c>
      <c r="AA17" s="62">
        <f>(Z17-Z16)*'Baseline Inputs'!$B$258/100/2 + Z16 *'Baseline Inputs'!$B$258/100</f>
        <v>847.5269659999999</v>
      </c>
      <c r="AB17" s="62">
        <f>AB16+AA17</f>
        <v>1271.2904489999999</v>
      </c>
      <c r="AC17" s="62">
        <f t="shared" ref="AC17:AC40" si="10">MAX(0,Z17-AB17)</f>
        <v>28362.519551000001</v>
      </c>
      <c r="AD17" s="62">
        <f>AD16+AD10</f>
        <v>0</v>
      </c>
      <c r="AE17" s="62">
        <f>(AD17-AD16)*'Baseline Inputs'!$B$259/100/2 + AD16 *'Baseline Inputs'!$B$259/100</f>
        <v>0</v>
      </c>
      <c r="AF17" s="62">
        <f>AF16+AE17</f>
        <v>0</v>
      </c>
      <c r="AG17" s="62">
        <f t="shared" ref="AG17:AG40" si="11">MAX(0,AD17-AF17)</f>
        <v>0</v>
      </c>
      <c r="AH17" s="62">
        <f>AH16+AH10</f>
        <v>0</v>
      </c>
      <c r="AI17" s="62">
        <f>(AH17-AH16)*'Baseline Inputs'!$B$260/100/2 + AH16 *'Baseline Inputs'!$B$260/100</f>
        <v>0</v>
      </c>
      <c r="AJ17" s="62">
        <f>AJ16+AI17</f>
        <v>0</v>
      </c>
      <c r="AK17" s="62">
        <f t="shared" ref="AK17:AK40" si="12">MAX(0,AH17-AJ17)</f>
        <v>0</v>
      </c>
      <c r="AL17" s="62">
        <f>AL16+AL10</f>
        <v>0</v>
      </c>
      <c r="AM17" s="62">
        <f>(AL17-AL16)*'Baseline Inputs'!$B$261/100/2 + AL16 *'Baseline Inputs'!$B$261/100</f>
        <v>0</v>
      </c>
      <c r="AN17" s="62">
        <f>AN16+AM17</f>
        <v>0</v>
      </c>
      <c r="AO17" s="62">
        <f t="shared" ref="AO17:AO40" si="13">MAX(0,AL17-AN17)</f>
        <v>0</v>
      </c>
      <c r="AP17" s="62">
        <f>AP16+AP10</f>
        <v>0</v>
      </c>
      <c r="AQ17" s="62">
        <f>(AP17-AP16)*'Baseline Inputs'!$B$264/100/2 + AP16 *'Baseline Inputs'!$B$264/100</f>
        <v>0</v>
      </c>
      <c r="AR17" s="62">
        <f>AR16+AQ17</f>
        <v>0</v>
      </c>
      <c r="AS17" s="62">
        <f t="shared" ref="AS17:AS40" si="14">MAX(0,AP17-AR17)</f>
        <v>0</v>
      </c>
      <c r="AT17" s="62">
        <f>AT16+AT10</f>
        <v>0</v>
      </c>
      <c r="AU17" s="62">
        <f>(AT17-AT16)*'Baseline Inputs'!$B$265/100/2 + AT16 *'Baseline Inputs'!$B$265/100</f>
        <v>0</v>
      </c>
      <c r="AV17" s="62">
        <f>AV16+AU17</f>
        <v>0</v>
      </c>
      <c r="AW17" s="62">
        <f t="shared" ref="AW17:AW40" si="15">MAX(0,AT17-AV17)</f>
        <v>0</v>
      </c>
      <c r="AX17" s="62">
        <f>AX16+AX10</f>
        <v>0</v>
      </c>
      <c r="AY17" s="62">
        <f>(AX17-AX16)*'Baseline Inputs'!$B$266/100/2 + AX16 *'Baseline Inputs'!$B$266/100</f>
        <v>0</v>
      </c>
      <c r="AZ17" s="62">
        <f>AZ16+AY17</f>
        <v>0</v>
      </c>
      <c r="BA17" s="62">
        <f t="shared" ref="BA17:BA40" si="16">MAX(0,AX17-AZ17)</f>
        <v>0</v>
      </c>
      <c r="BB17" s="62">
        <f>BB16+BB10</f>
        <v>0</v>
      </c>
      <c r="BC17" s="62">
        <f>(BB17-BB16)*'Baseline Inputs'!$B$267/100/2 + BB16 *'Baseline Inputs'!$B$267/100</f>
        <v>0</v>
      </c>
      <c r="BD17" s="62">
        <f>BD16+BC17</f>
        <v>0</v>
      </c>
      <c r="BE17" s="62">
        <f t="shared" ref="BE17:BE40" si="17">MAX(0,BB17-BD17)</f>
        <v>0</v>
      </c>
      <c r="BF17" s="62">
        <f>BF16+BF10</f>
        <v>0</v>
      </c>
      <c r="BG17" s="62">
        <f>(BF17-BF16)*'Baseline Inputs'!$B$268/100/2 + BF16 *'Baseline Inputs'!$B$268/100</f>
        <v>0</v>
      </c>
      <c r="BH17" s="62">
        <f>BH16+BG17</f>
        <v>0</v>
      </c>
      <c r="BI17" s="62">
        <f t="shared" ref="BI17:BI40" si="18">MAX(0,BF17-BH17)</f>
        <v>0</v>
      </c>
      <c r="BJ17" s="62">
        <f>BJ16+BJ10</f>
        <v>0</v>
      </c>
      <c r="BK17" s="62">
        <f>(BJ17-BJ16)*'Baseline Inputs'!$B$269/100/2 + BJ16 *'Baseline Inputs'!$B$269/100</f>
        <v>0</v>
      </c>
      <c r="BL17" s="62">
        <f>BL16+BK17</f>
        <v>0</v>
      </c>
      <c r="BM17" s="62">
        <f t="shared" ref="BM17:BM40" si="19">MAX(0,BJ17-BL17)</f>
        <v>0</v>
      </c>
      <c r="BN17" s="62">
        <f>BN16+BN10</f>
        <v>0</v>
      </c>
      <c r="BO17" s="62">
        <f>(BN17-BN16)*'Baseline Inputs'!$B$270/100/2 + BN16 *'Baseline Inputs'!$B$270/100</f>
        <v>0</v>
      </c>
      <c r="BP17" s="62">
        <f>BP16+BO17</f>
        <v>0</v>
      </c>
      <c r="BQ17" s="62">
        <f t="shared" ref="BQ17:BQ40" si="20">MAX(0,BN17-BP17)</f>
        <v>0</v>
      </c>
      <c r="BR17" s="62">
        <f>BR16+BR10</f>
        <v>0</v>
      </c>
      <c r="BS17" s="62">
        <f>(BR17-BR16)*'Baseline Inputs'!$B$271/100/2 + BR16 *'Baseline Inputs'!$B$271/100</f>
        <v>0</v>
      </c>
      <c r="BT17" s="62">
        <f>BT16+BS17</f>
        <v>0</v>
      </c>
      <c r="BU17" s="62">
        <f t="shared" ref="BU17:BU40" si="21">MAX(0,BR17-BT17)</f>
        <v>0</v>
      </c>
      <c r="BV17" s="62">
        <f>BV16+BV10</f>
        <v>0</v>
      </c>
      <c r="BW17" s="62">
        <f>(BV17-BV16)*'Baseline Inputs'!$B$272/100/2 + BV16 *'Baseline Inputs'!$B$272/100</f>
        <v>0</v>
      </c>
      <c r="BX17" s="62">
        <f>BX16+BW17</f>
        <v>0</v>
      </c>
      <c r="BY17" s="62">
        <f t="shared" ref="BY17:BY40" si="22">MAX(0,BV17-BX17)</f>
        <v>0</v>
      </c>
      <c r="BZ17" s="62">
        <f>BZ16+BZ10</f>
        <v>0</v>
      </c>
      <c r="CA17" s="62">
        <f>(BZ17-BZ16)*'Baseline Inputs'!$B$273/100/2 + BZ16 *'Baseline Inputs'!$B$273/100</f>
        <v>0</v>
      </c>
      <c r="CB17" s="62">
        <f>CB16+CA17</f>
        <v>0</v>
      </c>
      <c r="CC17" s="62">
        <f t="shared" ref="CC17:CC40" si="23">MAX(0,BZ17-CB17)</f>
        <v>0</v>
      </c>
      <c r="CD17" s="62">
        <f t="shared" si="0"/>
        <v>51331.39</v>
      </c>
      <c r="CE17" s="62">
        <f t="shared" si="1"/>
        <v>1538.7763070000001</v>
      </c>
      <c r="CF17" s="62">
        <f t="shared" si="2"/>
        <v>2308.1644605000001</v>
      </c>
      <c r="CG17" s="62">
        <f t="shared" si="3"/>
        <v>49023.225539499996</v>
      </c>
      <c r="CH17" s="62">
        <f>'CCA &amp; Cap Tax'!BL17</f>
        <v>0</v>
      </c>
      <c r="CI17" s="62">
        <f t="shared" ref="CI17:CI40" si="24">CG17+CH17</f>
        <v>49023.225539499996</v>
      </c>
      <c r="CJ17" s="69">
        <f>IF(ISBLANK('Baseline Inputs'!$C$281), CJ16,'Baseline Inputs'!$C$281/100)</f>
        <v>0.56000000000000005</v>
      </c>
      <c r="CK17" s="69">
        <f>IF(ISBLANK('Baseline Inputs'!$C$282), CK16,'Baseline Inputs'!$C$282/100)</f>
        <v>0.04</v>
      </c>
      <c r="CL17" s="62">
        <f t="shared" ref="CL17:CL40" si="25">CI17*(CJ17+CK17)</f>
        <v>29413.935323700003</v>
      </c>
      <c r="CM17" s="69">
        <f>IF(ISBLANK('Baseline Inputs'!$C$283), CM16,'Baseline Inputs'!$C$283/100)</f>
        <v>2.8500000000000001E-2</v>
      </c>
      <c r="CN17" s="62">
        <f t="shared" ref="CN17:CN40" si="26">CL17*CM17</f>
        <v>838.29715672545012</v>
      </c>
    </row>
    <row r="18" spans="1:92" x14ac:dyDescent="0.2">
      <c r="A18" s="4">
        <f t="shared" ref="A18:A40" si="27">A17+1</f>
        <v>2024</v>
      </c>
      <c r="B18" s="62">
        <f>B17+B11</f>
        <v>0</v>
      </c>
      <c r="C18" s="62">
        <f>(B18-B17)*'Baseline Inputs'!$B$252/100/2 + B17 *'Baseline Inputs'!$B$252/100</f>
        <v>0</v>
      </c>
      <c r="D18" s="62">
        <f t="shared" ref="D18:D40" si="28">D17+C18</f>
        <v>0</v>
      </c>
      <c r="E18" s="62">
        <f t="shared" si="4"/>
        <v>0</v>
      </c>
      <c r="F18" s="62">
        <f>F17+F11</f>
        <v>0</v>
      </c>
      <c r="G18" s="62">
        <f>(F18-F17)*'Baseline Inputs'!$B$253/100/2 + F17 *'Baseline Inputs'!$B$253/100</f>
        <v>0</v>
      </c>
      <c r="H18" s="62">
        <f t="shared" ref="H18:H40" si="29">H17+G18</f>
        <v>0</v>
      </c>
      <c r="I18" s="62">
        <f t="shared" si="5"/>
        <v>0</v>
      </c>
      <c r="J18" s="62">
        <f>J17+J11</f>
        <v>0</v>
      </c>
      <c r="K18" s="62">
        <f>(J18-J17)*'Baseline Inputs'!$B$254/100/2 + J17 *'Baseline Inputs'!$B$254/100</f>
        <v>0</v>
      </c>
      <c r="L18" s="62">
        <f t="shared" ref="L18:L40" si="30">L17+K18</f>
        <v>0</v>
      </c>
      <c r="M18" s="62">
        <f t="shared" si="6"/>
        <v>0</v>
      </c>
      <c r="N18" s="62">
        <f>N17+N11</f>
        <v>0</v>
      </c>
      <c r="O18" s="62">
        <f>(N18-N17)*'Baseline Inputs'!$B$255/100/2 + N17 *'Baseline Inputs'!$B$255/100</f>
        <v>0</v>
      </c>
      <c r="P18" s="62">
        <f t="shared" ref="P18:P40" si="31">P17+O18</f>
        <v>0</v>
      </c>
      <c r="Q18" s="62">
        <f t="shared" si="7"/>
        <v>0</v>
      </c>
      <c r="R18" s="62">
        <f>R17+R11</f>
        <v>12218.77</v>
      </c>
      <c r="S18" s="62">
        <f>(R18-R17)*'Baseline Inputs'!$B$256/100/2 + R17 *'Baseline Inputs'!$B$256/100</f>
        <v>406.88504100000006</v>
      </c>
      <c r="T18" s="62">
        <f t="shared" ref="T18:T40" si="32">T17+S18</f>
        <v>1017.2126025000002</v>
      </c>
      <c r="U18" s="62">
        <f t="shared" si="8"/>
        <v>11201.557397500001</v>
      </c>
      <c r="V18" s="62">
        <f>V17+V11</f>
        <v>9478.81</v>
      </c>
      <c r="W18" s="62">
        <f>(V18-V17)*'Baseline Inputs'!$B$257/100/2 + V17 *'Baseline Inputs'!$B$257/100</f>
        <v>284.36430000000001</v>
      </c>
      <c r="X18" s="62">
        <f t="shared" ref="X18:X40" si="33">X17+W18</f>
        <v>710.91075000000001</v>
      </c>
      <c r="Y18" s="62">
        <f t="shared" si="9"/>
        <v>8767.8992499999986</v>
      </c>
      <c r="Z18" s="62">
        <f>Z17+Z11</f>
        <v>29633.81</v>
      </c>
      <c r="AA18" s="62">
        <f>(Z18-Z17)*'Baseline Inputs'!$B$258/100/2 + Z17 *'Baseline Inputs'!$B$258/100</f>
        <v>847.5269659999999</v>
      </c>
      <c r="AB18" s="62">
        <f t="shared" ref="AB18:AB40" si="34">AB17+AA18</f>
        <v>2118.8174149999995</v>
      </c>
      <c r="AC18" s="62">
        <f t="shared" si="10"/>
        <v>27514.992585</v>
      </c>
      <c r="AD18" s="62">
        <f>AD17+AD11</f>
        <v>0</v>
      </c>
      <c r="AE18" s="62">
        <f>(AD18-AD17)*'Baseline Inputs'!$B$259/100/2 + AD17 *'Baseline Inputs'!$B$259/100</f>
        <v>0</v>
      </c>
      <c r="AF18" s="62">
        <f t="shared" ref="AF18:AF40" si="35">AF17+AE18</f>
        <v>0</v>
      </c>
      <c r="AG18" s="62">
        <f t="shared" si="11"/>
        <v>0</v>
      </c>
      <c r="AH18" s="62">
        <f>AH17+AH11</f>
        <v>0</v>
      </c>
      <c r="AI18" s="62">
        <f>(AH18-AH17)*'Baseline Inputs'!$B$260/100/2 + AH17 *'Baseline Inputs'!$B$260/100</f>
        <v>0</v>
      </c>
      <c r="AJ18" s="62">
        <f t="shared" ref="AJ18:AJ40" si="36">AJ17+AI18</f>
        <v>0</v>
      </c>
      <c r="AK18" s="62">
        <f t="shared" si="12"/>
        <v>0</v>
      </c>
      <c r="AL18" s="62">
        <f>AL17+AL11</f>
        <v>0</v>
      </c>
      <c r="AM18" s="62">
        <f>(AL18-AL17)*'Baseline Inputs'!$B$261/100/2 + AL17 *'Baseline Inputs'!$B$261/100</f>
        <v>0</v>
      </c>
      <c r="AN18" s="62">
        <f t="shared" ref="AN18:AN40" si="37">AN17+AM18</f>
        <v>0</v>
      </c>
      <c r="AO18" s="62">
        <f t="shared" si="13"/>
        <v>0</v>
      </c>
      <c r="AP18" s="62">
        <f>AP17+AP11</f>
        <v>0</v>
      </c>
      <c r="AQ18" s="62">
        <f>(AP18-AP17)*'Baseline Inputs'!$B$264/100/2 + AP17 *'Baseline Inputs'!$B$264/100</f>
        <v>0</v>
      </c>
      <c r="AR18" s="62">
        <f t="shared" ref="AR18:AR40" si="38">AR17+AQ18</f>
        <v>0</v>
      </c>
      <c r="AS18" s="62">
        <f t="shared" si="14"/>
        <v>0</v>
      </c>
      <c r="AT18" s="62">
        <f>AT17+AT11</f>
        <v>0</v>
      </c>
      <c r="AU18" s="62">
        <f>(AT18-AT17)*'Baseline Inputs'!$B$265/100/2 + AT17 *'Baseline Inputs'!$B$265/100</f>
        <v>0</v>
      </c>
      <c r="AV18" s="62">
        <f t="shared" ref="AV18:AV40" si="39">AV17+AU18</f>
        <v>0</v>
      </c>
      <c r="AW18" s="62">
        <f t="shared" si="15"/>
        <v>0</v>
      </c>
      <c r="AX18" s="62">
        <f>AX17+AX11</f>
        <v>0</v>
      </c>
      <c r="AY18" s="62">
        <f>(AX18-AX17)*'Baseline Inputs'!$B$266/100/2 + AX17 *'Baseline Inputs'!$B$266/100</f>
        <v>0</v>
      </c>
      <c r="AZ18" s="62">
        <f t="shared" ref="AZ18:AZ40" si="40">AZ17+AY18</f>
        <v>0</v>
      </c>
      <c r="BA18" s="62">
        <f t="shared" si="16"/>
        <v>0</v>
      </c>
      <c r="BB18" s="62">
        <f>BB17+BB11</f>
        <v>0</v>
      </c>
      <c r="BC18" s="62">
        <f>(BB18-BB17)*'Baseline Inputs'!$B$267/100/2 + BB17 *'Baseline Inputs'!$B$267/100</f>
        <v>0</v>
      </c>
      <c r="BD18" s="62">
        <f t="shared" ref="BD18:BD40" si="41">BD17+BC18</f>
        <v>0</v>
      </c>
      <c r="BE18" s="62">
        <f t="shared" si="17"/>
        <v>0</v>
      </c>
      <c r="BF18" s="62">
        <f>BF17+BF11</f>
        <v>0</v>
      </c>
      <c r="BG18" s="62">
        <f>(BF18-BF17)*'Baseline Inputs'!$B$268/100/2 + BF17 *'Baseline Inputs'!$B$268/100</f>
        <v>0</v>
      </c>
      <c r="BH18" s="62">
        <f t="shared" ref="BH18:BH40" si="42">BH17+BG18</f>
        <v>0</v>
      </c>
      <c r="BI18" s="62">
        <f t="shared" si="18"/>
        <v>0</v>
      </c>
      <c r="BJ18" s="62">
        <f>BJ17+BJ11</f>
        <v>0</v>
      </c>
      <c r="BK18" s="62">
        <f>(BJ18-BJ17)*'Baseline Inputs'!$B$269/100/2 + BJ17 *'Baseline Inputs'!$B$269/100</f>
        <v>0</v>
      </c>
      <c r="BL18" s="62">
        <f t="shared" ref="BL18:BL40" si="43">BL17+BK18</f>
        <v>0</v>
      </c>
      <c r="BM18" s="62">
        <f t="shared" si="19"/>
        <v>0</v>
      </c>
      <c r="BN18" s="62">
        <f>BN17+BN11</f>
        <v>0</v>
      </c>
      <c r="BO18" s="62">
        <f>(BN18-BN17)*'Baseline Inputs'!$B$270/100/2 + BN17 *'Baseline Inputs'!$B$270/100</f>
        <v>0</v>
      </c>
      <c r="BP18" s="62">
        <f t="shared" ref="BP18:BP40" si="44">BP17+BO18</f>
        <v>0</v>
      </c>
      <c r="BQ18" s="62">
        <f t="shared" si="20"/>
        <v>0</v>
      </c>
      <c r="BR18" s="62">
        <f>BR17+BR11</f>
        <v>0</v>
      </c>
      <c r="BS18" s="62">
        <f>(BR18-BR17)*'Baseline Inputs'!$B$271/100/2 + BR17 *'Baseline Inputs'!$B$271/100</f>
        <v>0</v>
      </c>
      <c r="BT18" s="62">
        <f t="shared" ref="BT18:BT40" si="45">BT17+BS18</f>
        <v>0</v>
      </c>
      <c r="BU18" s="62">
        <f t="shared" si="21"/>
        <v>0</v>
      </c>
      <c r="BV18" s="62">
        <f>BV17+BV11</f>
        <v>0</v>
      </c>
      <c r="BW18" s="62">
        <f>(BV18-BV17)*'Baseline Inputs'!$B$272/100/2 + BV17 *'Baseline Inputs'!$B$272/100</f>
        <v>0</v>
      </c>
      <c r="BX18" s="62">
        <f t="shared" ref="BX18:BX40" si="46">BX17+BW18</f>
        <v>0</v>
      </c>
      <c r="BY18" s="62">
        <f t="shared" si="22"/>
        <v>0</v>
      </c>
      <c r="BZ18" s="62">
        <f>BZ17+BZ11</f>
        <v>0</v>
      </c>
      <c r="CA18" s="62">
        <f>(BZ18-BZ17)*'Baseline Inputs'!$B$273/100/2 + BZ17 *'Baseline Inputs'!$B$273/100</f>
        <v>0</v>
      </c>
      <c r="CB18" s="62">
        <f t="shared" ref="CB18:CB40" si="47">CB17+CA18</f>
        <v>0</v>
      </c>
      <c r="CC18" s="62">
        <f t="shared" si="23"/>
        <v>0</v>
      </c>
      <c r="CD18" s="62">
        <f t="shared" si="0"/>
        <v>51331.39</v>
      </c>
      <c r="CE18" s="62">
        <f t="shared" si="1"/>
        <v>1538.7763070000001</v>
      </c>
      <c r="CF18" s="62">
        <f t="shared" si="2"/>
        <v>3846.9407674999998</v>
      </c>
      <c r="CG18" s="62">
        <f t="shared" si="3"/>
        <v>47484.449232500003</v>
      </c>
      <c r="CH18" s="62">
        <f>'CCA &amp; Cap Tax'!BL18</f>
        <v>0</v>
      </c>
      <c r="CI18" s="62">
        <f t="shared" si="24"/>
        <v>47484.449232500003</v>
      </c>
      <c r="CJ18" s="69">
        <f>IF(ISBLANK('Baseline Inputs'!$D$281), CJ17,'Baseline Inputs'!$D$281/100)</f>
        <v>0.56000000000000005</v>
      </c>
      <c r="CK18" s="69">
        <f>IF(ISBLANK('Baseline Inputs'!$D$282), CK17,'Baseline Inputs'!$D$282/100)</f>
        <v>0.04</v>
      </c>
      <c r="CL18" s="62">
        <f t="shared" si="25"/>
        <v>28490.669539500006</v>
      </c>
      <c r="CM18" s="69">
        <f>IF(ISBLANK('Baseline Inputs'!$D$283), CM17,'Baseline Inputs'!$D$283/100)</f>
        <v>2.8500000000000001E-2</v>
      </c>
      <c r="CN18" s="62">
        <f t="shared" si="26"/>
        <v>811.98408187575023</v>
      </c>
    </row>
    <row r="19" spans="1:92" x14ac:dyDescent="0.2">
      <c r="A19" s="4">
        <f t="shared" si="27"/>
        <v>2025</v>
      </c>
      <c r="B19" s="62">
        <f>B18+B12</f>
        <v>0</v>
      </c>
      <c r="C19" s="62">
        <f>(B19-B18)*'Baseline Inputs'!$B$252/100/2 + B18 *'Baseline Inputs'!$B$252/100</f>
        <v>0</v>
      </c>
      <c r="D19" s="62">
        <f t="shared" si="28"/>
        <v>0</v>
      </c>
      <c r="E19" s="62">
        <f t="shared" si="4"/>
        <v>0</v>
      </c>
      <c r="F19" s="62">
        <f>F18+F12</f>
        <v>0</v>
      </c>
      <c r="G19" s="62">
        <f>(F19-F18)*'Baseline Inputs'!$B$253/100/2 + F18 *'Baseline Inputs'!$B$253/100</f>
        <v>0</v>
      </c>
      <c r="H19" s="62">
        <f t="shared" si="29"/>
        <v>0</v>
      </c>
      <c r="I19" s="62">
        <f t="shared" si="5"/>
        <v>0</v>
      </c>
      <c r="J19" s="62">
        <f>J18+J12</f>
        <v>0</v>
      </c>
      <c r="K19" s="62">
        <f>(J19-J18)*'Baseline Inputs'!$B$254/100/2 + J18 *'Baseline Inputs'!$B$254/100</f>
        <v>0</v>
      </c>
      <c r="L19" s="62">
        <f t="shared" si="30"/>
        <v>0</v>
      </c>
      <c r="M19" s="62">
        <f t="shared" si="6"/>
        <v>0</v>
      </c>
      <c r="N19" s="62">
        <f>N18+N12</f>
        <v>0</v>
      </c>
      <c r="O19" s="62">
        <f>(N19-N18)*'Baseline Inputs'!$B$255/100/2 + N18 *'Baseline Inputs'!$B$255/100</f>
        <v>0</v>
      </c>
      <c r="P19" s="62">
        <f t="shared" si="31"/>
        <v>0</v>
      </c>
      <c r="Q19" s="62">
        <f t="shared" si="7"/>
        <v>0</v>
      </c>
      <c r="R19" s="62">
        <f>R18+R12</f>
        <v>12218.77</v>
      </c>
      <c r="S19" s="62">
        <f>(R19-R18)*'Baseline Inputs'!$B$256/100/2 + R18 *'Baseline Inputs'!$B$256/100</f>
        <v>406.88504100000006</v>
      </c>
      <c r="T19" s="62">
        <f t="shared" si="32"/>
        <v>1424.0976435000002</v>
      </c>
      <c r="U19" s="62">
        <f t="shared" si="8"/>
        <v>10794.672356499999</v>
      </c>
      <c r="V19" s="62">
        <f>V18+V12</f>
        <v>9478.81</v>
      </c>
      <c r="W19" s="62">
        <f>(V19-V18)*'Baseline Inputs'!$B$257/100/2 + V18 *'Baseline Inputs'!$B$257/100</f>
        <v>284.36430000000001</v>
      </c>
      <c r="X19" s="62">
        <f t="shared" si="33"/>
        <v>995.27504999999996</v>
      </c>
      <c r="Y19" s="62">
        <f t="shared" si="9"/>
        <v>8483.5349499999993</v>
      </c>
      <c r="Z19" s="62">
        <f>Z18+Z12</f>
        <v>29633.81</v>
      </c>
      <c r="AA19" s="62">
        <f>(Z19-Z18)*'Baseline Inputs'!$B$258/100/2 + Z18 *'Baseline Inputs'!$B$258/100</f>
        <v>847.5269659999999</v>
      </c>
      <c r="AB19" s="62">
        <f t="shared" si="34"/>
        <v>2966.3443809999994</v>
      </c>
      <c r="AC19" s="62">
        <f t="shared" si="10"/>
        <v>26667.465619000002</v>
      </c>
      <c r="AD19" s="62">
        <f>AD18+AD12</f>
        <v>0</v>
      </c>
      <c r="AE19" s="62">
        <f>(AD19-AD18)*'Baseline Inputs'!$B$259/100/2 + AD18 *'Baseline Inputs'!$B$259/100</f>
        <v>0</v>
      </c>
      <c r="AF19" s="62">
        <f t="shared" si="35"/>
        <v>0</v>
      </c>
      <c r="AG19" s="62">
        <f t="shared" si="11"/>
        <v>0</v>
      </c>
      <c r="AH19" s="62">
        <f>AH18+AH12</f>
        <v>0</v>
      </c>
      <c r="AI19" s="62">
        <f>(AH19-AH18)*'Baseline Inputs'!$B$260/100/2 + AH18 *'Baseline Inputs'!$B$260/100</f>
        <v>0</v>
      </c>
      <c r="AJ19" s="62">
        <f t="shared" si="36"/>
        <v>0</v>
      </c>
      <c r="AK19" s="62">
        <f t="shared" si="12"/>
        <v>0</v>
      </c>
      <c r="AL19" s="62">
        <f>AL18+AL12</f>
        <v>0</v>
      </c>
      <c r="AM19" s="62">
        <f>(AL19-AL18)*'Baseline Inputs'!$B$261/100/2 + AL18 *'Baseline Inputs'!$B$261/100</f>
        <v>0</v>
      </c>
      <c r="AN19" s="62">
        <f t="shared" si="37"/>
        <v>0</v>
      </c>
      <c r="AO19" s="62">
        <f t="shared" si="13"/>
        <v>0</v>
      </c>
      <c r="AP19" s="62">
        <f>AP18+AP12</f>
        <v>0</v>
      </c>
      <c r="AQ19" s="62">
        <f>(AP19-AP18)*'Baseline Inputs'!$B$264/100/2 + AP18 *'Baseline Inputs'!$B$264/100</f>
        <v>0</v>
      </c>
      <c r="AR19" s="62">
        <f t="shared" si="38"/>
        <v>0</v>
      </c>
      <c r="AS19" s="62">
        <f t="shared" si="14"/>
        <v>0</v>
      </c>
      <c r="AT19" s="62">
        <f>AT18+AT12</f>
        <v>0</v>
      </c>
      <c r="AU19" s="62">
        <f>(AT19-AT18)*'Baseline Inputs'!$B$265/100/2 + AT18 *'Baseline Inputs'!$B$265/100</f>
        <v>0</v>
      </c>
      <c r="AV19" s="62">
        <f t="shared" si="39"/>
        <v>0</v>
      </c>
      <c r="AW19" s="62">
        <f t="shared" si="15"/>
        <v>0</v>
      </c>
      <c r="AX19" s="62">
        <f>AX18+AX12</f>
        <v>0</v>
      </c>
      <c r="AY19" s="62">
        <f>(AX19-AX18)*'Baseline Inputs'!$B$266/100/2 + AX18 *'Baseline Inputs'!$B$266/100</f>
        <v>0</v>
      </c>
      <c r="AZ19" s="62">
        <f t="shared" si="40"/>
        <v>0</v>
      </c>
      <c r="BA19" s="62">
        <f t="shared" si="16"/>
        <v>0</v>
      </c>
      <c r="BB19" s="62">
        <f>BB18+BB12</f>
        <v>0</v>
      </c>
      <c r="BC19" s="62">
        <f>(BB19-BB18)*'Baseline Inputs'!$B$267/100/2 + BB18 *'Baseline Inputs'!$B$267/100</f>
        <v>0</v>
      </c>
      <c r="BD19" s="62">
        <f t="shared" si="41"/>
        <v>0</v>
      </c>
      <c r="BE19" s="62">
        <f t="shared" si="17"/>
        <v>0</v>
      </c>
      <c r="BF19" s="62">
        <f>BF18+BF12</f>
        <v>0</v>
      </c>
      <c r="BG19" s="62">
        <f>(BF19-BF18)*'Baseline Inputs'!$B$268/100/2 + BF18 *'Baseline Inputs'!$B$268/100</f>
        <v>0</v>
      </c>
      <c r="BH19" s="62">
        <f t="shared" si="42"/>
        <v>0</v>
      </c>
      <c r="BI19" s="62">
        <f t="shared" si="18"/>
        <v>0</v>
      </c>
      <c r="BJ19" s="62">
        <f>BJ18+BJ12</f>
        <v>0</v>
      </c>
      <c r="BK19" s="62">
        <f>(BJ19-BJ18)*'Baseline Inputs'!$B$269/100/2 + BJ18 *'Baseline Inputs'!$B$269/100</f>
        <v>0</v>
      </c>
      <c r="BL19" s="62">
        <f t="shared" si="43"/>
        <v>0</v>
      </c>
      <c r="BM19" s="62">
        <f t="shared" si="19"/>
        <v>0</v>
      </c>
      <c r="BN19" s="62">
        <f>BN18+BN12</f>
        <v>0</v>
      </c>
      <c r="BO19" s="62">
        <f>(BN19-BN18)*'Baseline Inputs'!$B$270/100/2 + BN18 *'Baseline Inputs'!$B$270/100</f>
        <v>0</v>
      </c>
      <c r="BP19" s="62">
        <f t="shared" si="44"/>
        <v>0</v>
      </c>
      <c r="BQ19" s="62">
        <f t="shared" si="20"/>
        <v>0</v>
      </c>
      <c r="BR19" s="62">
        <f>BR18+BR12</f>
        <v>0</v>
      </c>
      <c r="BS19" s="62">
        <f>(BR19-BR18)*'Baseline Inputs'!$B$271/100/2 + BR18 *'Baseline Inputs'!$B$271/100</f>
        <v>0</v>
      </c>
      <c r="BT19" s="62">
        <f t="shared" si="45"/>
        <v>0</v>
      </c>
      <c r="BU19" s="62">
        <f t="shared" si="21"/>
        <v>0</v>
      </c>
      <c r="BV19" s="62">
        <f>BV18+BV12</f>
        <v>0</v>
      </c>
      <c r="BW19" s="62">
        <f>(BV19-BV18)*'Baseline Inputs'!$B$272/100/2 + BV18 *'Baseline Inputs'!$B$272/100</f>
        <v>0</v>
      </c>
      <c r="BX19" s="62">
        <f t="shared" si="46"/>
        <v>0</v>
      </c>
      <c r="BY19" s="62">
        <f t="shared" si="22"/>
        <v>0</v>
      </c>
      <c r="BZ19" s="62">
        <f>BZ18+BZ12</f>
        <v>0</v>
      </c>
      <c r="CA19" s="62">
        <f>(BZ19-BZ18)*'Baseline Inputs'!$B$273/100/2 + BZ18 *'Baseline Inputs'!$B$273/100</f>
        <v>0</v>
      </c>
      <c r="CB19" s="62">
        <f t="shared" si="47"/>
        <v>0</v>
      </c>
      <c r="CC19" s="62">
        <f t="shared" si="23"/>
        <v>0</v>
      </c>
      <c r="CD19" s="62">
        <f t="shared" si="0"/>
        <v>51331.39</v>
      </c>
      <c r="CE19" s="62">
        <f t="shared" si="1"/>
        <v>1538.7763070000001</v>
      </c>
      <c r="CF19" s="62">
        <f t="shared" si="2"/>
        <v>5385.7170745000003</v>
      </c>
      <c r="CG19" s="62">
        <f t="shared" si="3"/>
        <v>45945.672925500003</v>
      </c>
      <c r="CH19" s="62">
        <f>'CCA &amp; Cap Tax'!BL19</f>
        <v>0</v>
      </c>
      <c r="CI19" s="62">
        <f t="shared" si="24"/>
        <v>45945.672925500003</v>
      </c>
      <c r="CJ19" s="69">
        <f>IF(ISBLANK('Baseline Inputs'!$E$281), CJ18,'Baseline Inputs'!$E$281/100)</f>
        <v>0.56000000000000005</v>
      </c>
      <c r="CK19" s="69">
        <f>IF(ISBLANK('Baseline Inputs'!$E$282), CK18,'Baseline Inputs'!$E$282/100)</f>
        <v>0.04</v>
      </c>
      <c r="CL19" s="62">
        <f t="shared" si="25"/>
        <v>27567.403755300005</v>
      </c>
      <c r="CM19" s="69">
        <f>IF(ISBLANK('Baseline Inputs'!$E$283), CM18,'Baseline Inputs'!$E$283/100)</f>
        <v>2.8500000000000001E-2</v>
      </c>
      <c r="CN19" s="62">
        <f t="shared" si="26"/>
        <v>785.67100702605023</v>
      </c>
    </row>
    <row r="20" spans="1:92" x14ac:dyDescent="0.2">
      <c r="A20" s="4">
        <f t="shared" si="27"/>
        <v>2026</v>
      </c>
      <c r="B20" s="62">
        <f>B19+B13</f>
        <v>0</v>
      </c>
      <c r="C20" s="62">
        <f>(B20-B19)*'Baseline Inputs'!$B$252/100/2 + B19 *'Baseline Inputs'!$B$252/100</f>
        <v>0</v>
      </c>
      <c r="D20" s="62">
        <f t="shared" si="28"/>
        <v>0</v>
      </c>
      <c r="E20" s="62">
        <f t="shared" si="4"/>
        <v>0</v>
      </c>
      <c r="F20" s="62">
        <f>F19+F13</f>
        <v>0</v>
      </c>
      <c r="G20" s="62">
        <f>(F20-F19)*'Baseline Inputs'!$B$253/100/2 + F19 *'Baseline Inputs'!$B$253/100</f>
        <v>0</v>
      </c>
      <c r="H20" s="62">
        <f t="shared" si="29"/>
        <v>0</v>
      </c>
      <c r="I20" s="62">
        <f t="shared" si="5"/>
        <v>0</v>
      </c>
      <c r="J20" s="62">
        <f>J19+J13</f>
        <v>0</v>
      </c>
      <c r="K20" s="62">
        <f>(J20-J19)*'Baseline Inputs'!$B$254/100/2 + J19 *'Baseline Inputs'!$B$254/100</f>
        <v>0</v>
      </c>
      <c r="L20" s="62">
        <f t="shared" si="30"/>
        <v>0</v>
      </c>
      <c r="M20" s="62">
        <f t="shared" si="6"/>
        <v>0</v>
      </c>
      <c r="N20" s="62">
        <f>N19+N13</f>
        <v>0</v>
      </c>
      <c r="O20" s="62">
        <f>(N20-N19)*'Baseline Inputs'!$B$255/100/2 + N19 *'Baseline Inputs'!$B$255/100</f>
        <v>0</v>
      </c>
      <c r="P20" s="62">
        <f t="shared" si="31"/>
        <v>0</v>
      </c>
      <c r="Q20" s="62">
        <f t="shared" si="7"/>
        <v>0</v>
      </c>
      <c r="R20" s="62">
        <f>R19+R13</f>
        <v>12218.77</v>
      </c>
      <c r="S20" s="62">
        <f>(R20-R19)*'Baseline Inputs'!$B$256/100/2 + R19 *'Baseline Inputs'!$B$256/100</f>
        <v>406.88504100000006</v>
      </c>
      <c r="T20" s="62">
        <f t="shared" si="32"/>
        <v>1830.9826845000002</v>
      </c>
      <c r="U20" s="62">
        <f t="shared" si="8"/>
        <v>10387.7873155</v>
      </c>
      <c r="V20" s="62">
        <f>V19+V13</f>
        <v>9478.81</v>
      </c>
      <c r="W20" s="62">
        <f>(V20-V19)*'Baseline Inputs'!$B$257/100/2 + V19 *'Baseline Inputs'!$B$257/100</f>
        <v>284.36430000000001</v>
      </c>
      <c r="X20" s="62">
        <f t="shared" si="33"/>
        <v>1279.6393499999999</v>
      </c>
      <c r="Y20" s="62">
        <f t="shared" si="9"/>
        <v>8199.17065</v>
      </c>
      <c r="Z20" s="62">
        <f>Z19+Z13</f>
        <v>29633.81</v>
      </c>
      <c r="AA20" s="62">
        <f>(Z20-Z19)*'Baseline Inputs'!$B$258/100/2 + Z19 *'Baseline Inputs'!$B$258/100</f>
        <v>847.5269659999999</v>
      </c>
      <c r="AB20" s="62">
        <f t="shared" si="34"/>
        <v>3813.8713469999993</v>
      </c>
      <c r="AC20" s="62">
        <f t="shared" si="10"/>
        <v>25819.938653000001</v>
      </c>
      <c r="AD20" s="62">
        <f>AD19+AD13</f>
        <v>0</v>
      </c>
      <c r="AE20" s="62">
        <f>(AD20-AD19)*'Baseline Inputs'!$B$259/100/2 + AD19 *'Baseline Inputs'!$B$259/100</f>
        <v>0</v>
      </c>
      <c r="AF20" s="62">
        <f t="shared" si="35"/>
        <v>0</v>
      </c>
      <c r="AG20" s="62">
        <f t="shared" si="11"/>
        <v>0</v>
      </c>
      <c r="AH20" s="62">
        <f>AH19+AH13</f>
        <v>0</v>
      </c>
      <c r="AI20" s="62">
        <f>(AH20-AH19)*'Baseline Inputs'!$B$260/100/2 + AH19 *'Baseline Inputs'!$B$260/100</f>
        <v>0</v>
      </c>
      <c r="AJ20" s="62">
        <f t="shared" si="36"/>
        <v>0</v>
      </c>
      <c r="AK20" s="62">
        <f t="shared" si="12"/>
        <v>0</v>
      </c>
      <c r="AL20" s="62">
        <f>AL19+AL13</f>
        <v>0</v>
      </c>
      <c r="AM20" s="62">
        <f>(AL20-AL19)*'Baseline Inputs'!$B$261/100/2 + AL19 *'Baseline Inputs'!$B$261/100</f>
        <v>0</v>
      </c>
      <c r="AN20" s="62">
        <f t="shared" si="37"/>
        <v>0</v>
      </c>
      <c r="AO20" s="62">
        <f t="shared" si="13"/>
        <v>0</v>
      </c>
      <c r="AP20" s="62">
        <f>AP19+AP13</f>
        <v>0</v>
      </c>
      <c r="AQ20" s="62">
        <f>(AP20-AP19)*'Baseline Inputs'!$B$264/100/2 + AP19 *'Baseline Inputs'!$B$264/100</f>
        <v>0</v>
      </c>
      <c r="AR20" s="62">
        <f t="shared" si="38"/>
        <v>0</v>
      </c>
      <c r="AS20" s="62">
        <f t="shared" si="14"/>
        <v>0</v>
      </c>
      <c r="AT20" s="62">
        <f>AT19+AT13</f>
        <v>0</v>
      </c>
      <c r="AU20" s="62">
        <f>(AT20-AT19)*'Baseline Inputs'!$B$265/100/2 + AT19 *'Baseline Inputs'!$B$265/100</f>
        <v>0</v>
      </c>
      <c r="AV20" s="62">
        <f t="shared" si="39"/>
        <v>0</v>
      </c>
      <c r="AW20" s="62">
        <f t="shared" si="15"/>
        <v>0</v>
      </c>
      <c r="AX20" s="62">
        <f>AX19+AX13</f>
        <v>0</v>
      </c>
      <c r="AY20" s="62">
        <f>(AX20-AX19)*'Baseline Inputs'!$B$266/100/2 + AX19 *'Baseline Inputs'!$B$266/100</f>
        <v>0</v>
      </c>
      <c r="AZ20" s="62">
        <f t="shared" si="40"/>
        <v>0</v>
      </c>
      <c r="BA20" s="62">
        <f t="shared" si="16"/>
        <v>0</v>
      </c>
      <c r="BB20" s="62">
        <f>BB19+BB13</f>
        <v>0</v>
      </c>
      <c r="BC20" s="62">
        <f>(BB20-BB19)*'Baseline Inputs'!$B$267/100/2 + BB19 *'Baseline Inputs'!$B$267/100</f>
        <v>0</v>
      </c>
      <c r="BD20" s="62">
        <f t="shared" si="41"/>
        <v>0</v>
      </c>
      <c r="BE20" s="62">
        <f t="shared" si="17"/>
        <v>0</v>
      </c>
      <c r="BF20" s="62">
        <f>BF19+BF13</f>
        <v>0</v>
      </c>
      <c r="BG20" s="62">
        <f>(BF20-BF19)*'Baseline Inputs'!$B$268/100/2 + BF19 *'Baseline Inputs'!$B$268/100</f>
        <v>0</v>
      </c>
      <c r="BH20" s="62">
        <f t="shared" si="42"/>
        <v>0</v>
      </c>
      <c r="BI20" s="62">
        <f t="shared" si="18"/>
        <v>0</v>
      </c>
      <c r="BJ20" s="62">
        <f>BJ19+BJ13</f>
        <v>0</v>
      </c>
      <c r="BK20" s="62">
        <f>(BJ20-BJ19)*'Baseline Inputs'!$B$269/100/2 + BJ19 *'Baseline Inputs'!$B$269/100</f>
        <v>0</v>
      </c>
      <c r="BL20" s="62">
        <f t="shared" si="43"/>
        <v>0</v>
      </c>
      <c r="BM20" s="62">
        <f t="shared" si="19"/>
        <v>0</v>
      </c>
      <c r="BN20" s="62">
        <f>BN19+BN13</f>
        <v>0</v>
      </c>
      <c r="BO20" s="62">
        <f>(BN20-BN19)*'Baseline Inputs'!$B$270/100/2 + BN19 *'Baseline Inputs'!$B$270/100</f>
        <v>0</v>
      </c>
      <c r="BP20" s="62">
        <f t="shared" si="44"/>
        <v>0</v>
      </c>
      <c r="BQ20" s="62">
        <f t="shared" si="20"/>
        <v>0</v>
      </c>
      <c r="BR20" s="62">
        <f>BR19+BR13</f>
        <v>0</v>
      </c>
      <c r="BS20" s="62">
        <f>(BR20-BR19)*'Baseline Inputs'!$B$271/100/2 + BR19 *'Baseline Inputs'!$B$271/100</f>
        <v>0</v>
      </c>
      <c r="BT20" s="62">
        <f t="shared" si="45"/>
        <v>0</v>
      </c>
      <c r="BU20" s="62">
        <f t="shared" si="21"/>
        <v>0</v>
      </c>
      <c r="BV20" s="62">
        <f>BV19+BV13</f>
        <v>0</v>
      </c>
      <c r="BW20" s="62">
        <f>(BV20-BV19)*'Baseline Inputs'!$B$272/100/2 + BV19 *'Baseline Inputs'!$B$272/100</f>
        <v>0</v>
      </c>
      <c r="BX20" s="62">
        <f t="shared" si="46"/>
        <v>0</v>
      </c>
      <c r="BY20" s="62">
        <f t="shared" si="22"/>
        <v>0</v>
      </c>
      <c r="BZ20" s="62">
        <f>BZ19+BZ13</f>
        <v>0</v>
      </c>
      <c r="CA20" s="62">
        <f>(BZ20-BZ19)*'Baseline Inputs'!$B$273/100/2 + BZ19 *'Baseline Inputs'!$B$273/100</f>
        <v>0</v>
      </c>
      <c r="CB20" s="62">
        <f t="shared" si="47"/>
        <v>0</v>
      </c>
      <c r="CC20" s="62">
        <f t="shared" si="23"/>
        <v>0</v>
      </c>
      <c r="CD20" s="62">
        <f t="shared" si="0"/>
        <v>51331.39</v>
      </c>
      <c r="CE20" s="62">
        <f t="shared" si="1"/>
        <v>1538.7763070000001</v>
      </c>
      <c r="CF20" s="62">
        <f t="shared" si="2"/>
        <v>6924.4933814999995</v>
      </c>
      <c r="CG20" s="62">
        <f t="shared" si="3"/>
        <v>44406.896618500003</v>
      </c>
      <c r="CH20" s="62">
        <f>'CCA &amp; Cap Tax'!BL20</f>
        <v>0</v>
      </c>
      <c r="CI20" s="62">
        <f t="shared" si="24"/>
        <v>44406.896618500003</v>
      </c>
      <c r="CJ20" s="69">
        <f>IF(ISBLANK('Baseline Inputs'!$F$281), CJ19,'Baseline Inputs'!$F$281/100)</f>
        <v>0.56000000000000005</v>
      </c>
      <c r="CK20" s="69">
        <f>IF(ISBLANK('Baseline Inputs'!$F$282), CK19,'Baseline Inputs'!$F$282/100)</f>
        <v>0.04</v>
      </c>
      <c r="CL20" s="62">
        <f t="shared" si="25"/>
        <v>26644.137971100005</v>
      </c>
      <c r="CM20" s="69">
        <f>IF(ISBLANK('Baseline Inputs'!$F$283), CM19,'Baseline Inputs'!$F$283/100)</f>
        <v>2.8500000000000001E-2</v>
      </c>
      <c r="CN20" s="62">
        <f t="shared" si="26"/>
        <v>759.35793217635012</v>
      </c>
    </row>
    <row r="21" spans="1:92" x14ac:dyDescent="0.2">
      <c r="A21" s="4">
        <f t="shared" si="27"/>
        <v>2027</v>
      </c>
      <c r="B21" s="62">
        <f>B20</f>
        <v>0</v>
      </c>
      <c r="C21" s="62">
        <f>(B21-B20)*'Baseline Inputs'!$B$252/100/2 + B20 *'Baseline Inputs'!$B$252/100</f>
        <v>0</v>
      </c>
      <c r="D21" s="62">
        <f t="shared" si="28"/>
        <v>0</v>
      </c>
      <c r="E21" s="62">
        <f t="shared" si="4"/>
        <v>0</v>
      </c>
      <c r="F21" s="62">
        <f>F20</f>
        <v>0</v>
      </c>
      <c r="G21" s="62">
        <f>(F21-F20)*'Baseline Inputs'!$B$253/100/2 + F20 *'Baseline Inputs'!$B$253/100</f>
        <v>0</v>
      </c>
      <c r="H21" s="62">
        <f t="shared" si="29"/>
        <v>0</v>
      </c>
      <c r="I21" s="62">
        <f t="shared" si="5"/>
        <v>0</v>
      </c>
      <c r="J21" s="62">
        <f>J20</f>
        <v>0</v>
      </c>
      <c r="K21" s="62">
        <f>(J21-J20)*'Baseline Inputs'!$B$254/100/2 + J20 *'Baseline Inputs'!$B$254/100</f>
        <v>0</v>
      </c>
      <c r="L21" s="62">
        <f t="shared" si="30"/>
        <v>0</v>
      </c>
      <c r="M21" s="62">
        <f t="shared" si="6"/>
        <v>0</v>
      </c>
      <c r="N21" s="62">
        <f>N20</f>
        <v>0</v>
      </c>
      <c r="O21" s="62">
        <f>(N21-N20)*'Baseline Inputs'!$B$255/100/2 + N20 *'Baseline Inputs'!$B$255/100</f>
        <v>0</v>
      </c>
      <c r="P21" s="62">
        <f t="shared" si="31"/>
        <v>0</v>
      </c>
      <c r="Q21" s="62">
        <f t="shared" si="7"/>
        <v>0</v>
      </c>
      <c r="R21" s="62">
        <f>R20</f>
        <v>12218.77</v>
      </c>
      <c r="S21" s="62">
        <f>(R21-R20)*'Baseline Inputs'!$B$256/100/2 + R20 *'Baseline Inputs'!$B$256/100</f>
        <v>406.88504100000006</v>
      </c>
      <c r="T21" s="62">
        <f t="shared" si="32"/>
        <v>2237.8677255000002</v>
      </c>
      <c r="U21" s="62">
        <f t="shared" si="8"/>
        <v>9980.9022745000002</v>
      </c>
      <c r="V21" s="62">
        <f>V20</f>
        <v>9478.81</v>
      </c>
      <c r="W21" s="62">
        <f>(V21-V20)*'Baseline Inputs'!$B$257/100/2 + V20 *'Baseline Inputs'!$B$257/100</f>
        <v>284.36430000000001</v>
      </c>
      <c r="X21" s="62">
        <f t="shared" si="33"/>
        <v>1564.0036499999999</v>
      </c>
      <c r="Y21" s="62">
        <f t="shared" si="9"/>
        <v>7914.8063499999998</v>
      </c>
      <c r="Z21" s="62">
        <f>Z20</f>
        <v>29633.81</v>
      </c>
      <c r="AA21" s="62">
        <f>(Z21-Z20)*'Baseline Inputs'!$B$258/100/2 + Z20 *'Baseline Inputs'!$B$258/100</f>
        <v>847.5269659999999</v>
      </c>
      <c r="AB21" s="62">
        <f t="shared" si="34"/>
        <v>4661.3983129999997</v>
      </c>
      <c r="AC21" s="62">
        <f t="shared" si="10"/>
        <v>24972.411687</v>
      </c>
      <c r="AD21" s="62">
        <f>AD20</f>
        <v>0</v>
      </c>
      <c r="AE21" s="62">
        <f>(AD21-AD20)*'Baseline Inputs'!$B$259/100/2 + AD20 *'Baseline Inputs'!$B$259/100</f>
        <v>0</v>
      </c>
      <c r="AF21" s="62">
        <f t="shared" si="35"/>
        <v>0</v>
      </c>
      <c r="AG21" s="62">
        <f t="shared" si="11"/>
        <v>0</v>
      </c>
      <c r="AH21" s="62">
        <f>AH20</f>
        <v>0</v>
      </c>
      <c r="AI21" s="62">
        <f>(AH21-AH20)*'Baseline Inputs'!$B$260/100/2 + AH20 *'Baseline Inputs'!$B$260/100</f>
        <v>0</v>
      </c>
      <c r="AJ21" s="62">
        <f t="shared" si="36"/>
        <v>0</v>
      </c>
      <c r="AK21" s="62">
        <f t="shared" si="12"/>
        <v>0</v>
      </c>
      <c r="AL21" s="62">
        <f>AL20</f>
        <v>0</v>
      </c>
      <c r="AM21" s="62">
        <f>(AL21-AL20)*'Baseline Inputs'!$B$261/100/2 + AL20 *'Baseline Inputs'!$B$261/100</f>
        <v>0</v>
      </c>
      <c r="AN21" s="62">
        <f t="shared" si="37"/>
        <v>0</v>
      </c>
      <c r="AO21" s="62">
        <f t="shared" si="13"/>
        <v>0</v>
      </c>
      <c r="AP21" s="62">
        <f>AP20</f>
        <v>0</v>
      </c>
      <c r="AQ21" s="62">
        <f>(AP21-AP20)*'Baseline Inputs'!$B$264/100/2 + AP20 *'Baseline Inputs'!$B$264/100</f>
        <v>0</v>
      </c>
      <c r="AR21" s="62">
        <f t="shared" si="38"/>
        <v>0</v>
      </c>
      <c r="AS21" s="62">
        <f t="shared" si="14"/>
        <v>0</v>
      </c>
      <c r="AT21" s="62">
        <f>AT20</f>
        <v>0</v>
      </c>
      <c r="AU21" s="62">
        <f>(AT21-AT20)*'Baseline Inputs'!$B$265/100/2 + AT20 *'Baseline Inputs'!$B$265/100</f>
        <v>0</v>
      </c>
      <c r="AV21" s="62">
        <f t="shared" si="39"/>
        <v>0</v>
      </c>
      <c r="AW21" s="62">
        <f t="shared" si="15"/>
        <v>0</v>
      </c>
      <c r="AX21" s="62">
        <f>AX20</f>
        <v>0</v>
      </c>
      <c r="AY21" s="62">
        <f>(AX21-AX20)*'Baseline Inputs'!$B$266/100/2 + AX20 *'Baseline Inputs'!$B$266/100</f>
        <v>0</v>
      </c>
      <c r="AZ21" s="62">
        <f t="shared" si="40"/>
        <v>0</v>
      </c>
      <c r="BA21" s="62">
        <f t="shared" si="16"/>
        <v>0</v>
      </c>
      <c r="BB21" s="62">
        <f>BB20</f>
        <v>0</v>
      </c>
      <c r="BC21" s="62">
        <f>(BB21-BB20)*'Baseline Inputs'!$B$267/100/2 + BB20 *'Baseline Inputs'!$B$267/100</f>
        <v>0</v>
      </c>
      <c r="BD21" s="62">
        <f t="shared" si="41"/>
        <v>0</v>
      </c>
      <c r="BE21" s="62">
        <f t="shared" si="17"/>
        <v>0</v>
      </c>
      <c r="BF21" s="62">
        <f>BF20</f>
        <v>0</v>
      </c>
      <c r="BG21" s="62">
        <f>(BF21-BF20)*'Baseline Inputs'!$B$268/100/2 + BF20 *'Baseline Inputs'!$B$268/100</f>
        <v>0</v>
      </c>
      <c r="BH21" s="62">
        <f t="shared" si="42"/>
        <v>0</v>
      </c>
      <c r="BI21" s="62">
        <f t="shared" si="18"/>
        <v>0</v>
      </c>
      <c r="BJ21" s="62">
        <f>BJ20</f>
        <v>0</v>
      </c>
      <c r="BK21" s="62">
        <f>(BJ21-BJ20)*'Baseline Inputs'!$B$269/100/2 + BJ20 *'Baseline Inputs'!$B$269/100</f>
        <v>0</v>
      </c>
      <c r="BL21" s="62">
        <f t="shared" si="43"/>
        <v>0</v>
      </c>
      <c r="BM21" s="62">
        <f t="shared" si="19"/>
        <v>0</v>
      </c>
      <c r="BN21" s="62">
        <f>BN20</f>
        <v>0</v>
      </c>
      <c r="BO21" s="62">
        <f>(BN21-BN20)*'Baseline Inputs'!$B$270/100/2 + BN20 *'Baseline Inputs'!$B$270/100</f>
        <v>0</v>
      </c>
      <c r="BP21" s="62">
        <f t="shared" si="44"/>
        <v>0</v>
      </c>
      <c r="BQ21" s="62">
        <f t="shared" si="20"/>
        <v>0</v>
      </c>
      <c r="BR21" s="62">
        <f>BR20</f>
        <v>0</v>
      </c>
      <c r="BS21" s="62">
        <f>(BR21-BR20)*'Baseline Inputs'!$B$271/100/2 + BR20 *'Baseline Inputs'!$B$271/100</f>
        <v>0</v>
      </c>
      <c r="BT21" s="62">
        <f t="shared" si="45"/>
        <v>0</v>
      </c>
      <c r="BU21" s="62">
        <f t="shared" si="21"/>
        <v>0</v>
      </c>
      <c r="BV21" s="62">
        <f>BV20</f>
        <v>0</v>
      </c>
      <c r="BW21" s="62">
        <f>(BV21-BV20)*'Baseline Inputs'!$B$272/100/2 + BV20 *'Baseline Inputs'!$B$272/100</f>
        <v>0</v>
      </c>
      <c r="BX21" s="62">
        <f t="shared" si="46"/>
        <v>0</v>
      </c>
      <c r="BY21" s="62">
        <f t="shared" si="22"/>
        <v>0</v>
      </c>
      <c r="BZ21" s="62">
        <f>BZ20</f>
        <v>0</v>
      </c>
      <c r="CA21" s="62">
        <f>(BZ21-BZ20)*'Baseline Inputs'!$B$273/100/2 + BZ20 *'Baseline Inputs'!$B$273/100</f>
        <v>0</v>
      </c>
      <c r="CB21" s="62">
        <f t="shared" si="47"/>
        <v>0</v>
      </c>
      <c r="CC21" s="62">
        <f t="shared" si="23"/>
        <v>0</v>
      </c>
      <c r="CD21" s="62">
        <f t="shared" si="0"/>
        <v>51331.39</v>
      </c>
      <c r="CE21" s="62">
        <f t="shared" si="1"/>
        <v>1538.7763070000001</v>
      </c>
      <c r="CF21" s="62">
        <f t="shared" si="2"/>
        <v>8463.2696885000005</v>
      </c>
      <c r="CG21" s="62">
        <f t="shared" si="3"/>
        <v>42868.120311499995</v>
      </c>
      <c r="CH21" s="62">
        <f>'CCA &amp; Cap Tax'!BL21</f>
        <v>0</v>
      </c>
      <c r="CI21" s="62">
        <f t="shared" si="24"/>
        <v>42868.120311499995</v>
      </c>
      <c r="CJ21" s="40">
        <f>CJ20</f>
        <v>0.56000000000000005</v>
      </c>
      <c r="CK21" s="40">
        <f>CK20</f>
        <v>0.04</v>
      </c>
      <c r="CL21" s="62">
        <f t="shared" si="25"/>
        <v>25720.8721869</v>
      </c>
      <c r="CM21" s="40">
        <f>CM20</f>
        <v>2.8500000000000001E-2</v>
      </c>
      <c r="CN21" s="62">
        <f t="shared" si="26"/>
        <v>733.04485732665</v>
      </c>
    </row>
    <row r="22" spans="1:92" x14ac:dyDescent="0.2">
      <c r="A22" s="4">
        <f t="shared" si="27"/>
        <v>2028</v>
      </c>
      <c r="B22" s="62">
        <f t="shared" ref="B22:B40" si="48">B21</f>
        <v>0</v>
      </c>
      <c r="C22" s="62">
        <f>(B22-B21)*'Baseline Inputs'!$B$252/100/2 + B21 *'Baseline Inputs'!$B$252/100</f>
        <v>0</v>
      </c>
      <c r="D22" s="62">
        <f t="shared" si="28"/>
        <v>0</v>
      </c>
      <c r="E22" s="62">
        <f t="shared" si="4"/>
        <v>0</v>
      </c>
      <c r="F22" s="62">
        <f t="shared" ref="F22:F40" si="49">F21</f>
        <v>0</v>
      </c>
      <c r="G22" s="62">
        <f>(F22-F21)*'Baseline Inputs'!$B$253/100/2 + F21 *'Baseline Inputs'!$B$253/100</f>
        <v>0</v>
      </c>
      <c r="H22" s="62">
        <f t="shared" si="29"/>
        <v>0</v>
      </c>
      <c r="I22" s="62">
        <f t="shared" si="5"/>
        <v>0</v>
      </c>
      <c r="J22" s="62">
        <f t="shared" ref="J22:J40" si="50">J21</f>
        <v>0</v>
      </c>
      <c r="K22" s="62">
        <f>(J22-J21)*'Baseline Inputs'!$B$254/100/2 + J21 *'Baseline Inputs'!$B$254/100</f>
        <v>0</v>
      </c>
      <c r="L22" s="62">
        <f t="shared" si="30"/>
        <v>0</v>
      </c>
      <c r="M22" s="62">
        <f t="shared" si="6"/>
        <v>0</v>
      </c>
      <c r="N22" s="62">
        <f t="shared" ref="N22:N40" si="51">N21</f>
        <v>0</v>
      </c>
      <c r="O22" s="62">
        <f>(N22-N21)*'Baseline Inputs'!$B$255/100/2 + N21 *'Baseline Inputs'!$B$255/100</f>
        <v>0</v>
      </c>
      <c r="P22" s="62">
        <f t="shared" si="31"/>
        <v>0</v>
      </c>
      <c r="Q22" s="62">
        <f t="shared" si="7"/>
        <v>0</v>
      </c>
      <c r="R22" s="62">
        <f t="shared" ref="R22:R40" si="52">R21</f>
        <v>12218.77</v>
      </c>
      <c r="S22" s="62">
        <f>(R22-R21)*'Baseline Inputs'!$B$256/100/2 + R21 *'Baseline Inputs'!$B$256/100</f>
        <v>406.88504100000006</v>
      </c>
      <c r="T22" s="62">
        <f t="shared" si="32"/>
        <v>2644.7527665000002</v>
      </c>
      <c r="U22" s="62">
        <f t="shared" si="8"/>
        <v>9574.0172335000007</v>
      </c>
      <c r="V22" s="62">
        <f t="shared" ref="V22:V40" si="53">V21</f>
        <v>9478.81</v>
      </c>
      <c r="W22" s="62">
        <f>(V22-V21)*'Baseline Inputs'!$B$257/100/2 + V21 *'Baseline Inputs'!$B$257/100</f>
        <v>284.36430000000001</v>
      </c>
      <c r="X22" s="62">
        <f t="shared" si="33"/>
        <v>1848.3679499999998</v>
      </c>
      <c r="Y22" s="62">
        <f t="shared" si="9"/>
        <v>7630.4420499999997</v>
      </c>
      <c r="Z22" s="62">
        <f t="shared" ref="Z22:Z40" si="54">Z21</f>
        <v>29633.81</v>
      </c>
      <c r="AA22" s="62">
        <f>(Z22-Z21)*'Baseline Inputs'!$B$258/100/2 + Z21 *'Baseline Inputs'!$B$258/100</f>
        <v>847.5269659999999</v>
      </c>
      <c r="AB22" s="62">
        <f t="shared" si="34"/>
        <v>5508.9252789999991</v>
      </c>
      <c r="AC22" s="62">
        <f t="shared" si="10"/>
        <v>24124.884721000002</v>
      </c>
      <c r="AD22" s="62">
        <f t="shared" ref="AD22:AD40" si="55">AD21</f>
        <v>0</v>
      </c>
      <c r="AE22" s="62">
        <f>(AD22-AD21)*'Baseline Inputs'!$B$259/100/2 + AD21 *'Baseline Inputs'!$B$259/100</f>
        <v>0</v>
      </c>
      <c r="AF22" s="62">
        <f t="shared" si="35"/>
        <v>0</v>
      </c>
      <c r="AG22" s="62">
        <f t="shared" si="11"/>
        <v>0</v>
      </c>
      <c r="AH22" s="62">
        <f t="shared" ref="AH22:AH40" si="56">AH21</f>
        <v>0</v>
      </c>
      <c r="AI22" s="62">
        <f>(AH22-AH21)*'Baseline Inputs'!$B$260/100/2 + AH21 *'Baseline Inputs'!$B$260/100</f>
        <v>0</v>
      </c>
      <c r="AJ22" s="62">
        <f t="shared" si="36"/>
        <v>0</v>
      </c>
      <c r="AK22" s="62">
        <f t="shared" si="12"/>
        <v>0</v>
      </c>
      <c r="AL22" s="62">
        <f t="shared" ref="AL22:AL40" si="57">AL21</f>
        <v>0</v>
      </c>
      <c r="AM22" s="62">
        <f>(AL22-AL21)*'Baseline Inputs'!$B$261/100/2 + AL21 *'Baseline Inputs'!$B$261/100</f>
        <v>0</v>
      </c>
      <c r="AN22" s="62">
        <f t="shared" si="37"/>
        <v>0</v>
      </c>
      <c r="AO22" s="62">
        <f t="shared" si="13"/>
        <v>0</v>
      </c>
      <c r="AP22" s="62">
        <f t="shared" ref="AP22:AP40" si="58">AP21</f>
        <v>0</v>
      </c>
      <c r="AQ22" s="62">
        <f>(AP22-AP21)*'Baseline Inputs'!$B$264/100/2 + AP21 *'Baseline Inputs'!$B$264/100</f>
        <v>0</v>
      </c>
      <c r="AR22" s="62">
        <f t="shared" si="38"/>
        <v>0</v>
      </c>
      <c r="AS22" s="62">
        <f t="shared" si="14"/>
        <v>0</v>
      </c>
      <c r="AT22" s="62">
        <f t="shared" ref="AT22:AT40" si="59">AT21</f>
        <v>0</v>
      </c>
      <c r="AU22" s="62">
        <f>(AT22-AT21)*'Baseline Inputs'!$B$265/100/2 + AT21 *'Baseline Inputs'!$B$265/100</f>
        <v>0</v>
      </c>
      <c r="AV22" s="62">
        <f t="shared" si="39"/>
        <v>0</v>
      </c>
      <c r="AW22" s="62">
        <f t="shared" si="15"/>
        <v>0</v>
      </c>
      <c r="AX22" s="62">
        <f t="shared" ref="AX22:AX40" si="60">AX21</f>
        <v>0</v>
      </c>
      <c r="AY22" s="62">
        <f>(AX22-AX21)*'Baseline Inputs'!$B$266/100/2 + AX21 *'Baseline Inputs'!$B$266/100</f>
        <v>0</v>
      </c>
      <c r="AZ22" s="62">
        <f t="shared" si="40"/>
        <v>0</v>
      </c>
      <c r="BA22" s="62">
        <f t="shared" si="16"/>
        <v>0</v>
      </c>
      <c r="BB22" s="62">
        <f t="shared" ref="BB22:BB40" si="61">BB21</f>
        <v>0</v>
      </c>
      <c r="BC22" s="62">
        <f>(BB22-BB21)*'Baseline Inputs'!$B$267/100/2 + BB21 *'Baseline Inputs'!$B$267/100</f>
        <v>0</v>
      </c>
      <c r="BD22" s="62">
        <f t="shared" si="41"/>
        <v>0</v>
      </c>
      <c r="BE22" s="62">
        <f t="shared" si="17"/>
        <v>0</v>
      </c>
      <c r="BF22" s="62">
        <f t="shared" ref="BF22:BF40" si="62">BF21</f>
        <v>0</v>
      </c>
      <c r="BG22" s="62">
        <f>(BF22-BF21)*'Baseline Inputs'!$B$268/100/2 + BF21 *'Baseline Inputs'!$B$268/100</f>
        <v>0</v>
      </c>
      <c r="BH22" s="62">
        <f t="shared" si="42"/>
        <v>0</v>
      </c>
      <c r="BI22" s="62">
        <f t="shared" si="18"/>
        <v>0</v>
      </c>
      <c r="BJ22" s="62">
        <f t="shared" ref="BJ22:BJ40" si="63">BJ21</f>
        <v>0</v>
      </c>
      <c r="BK22" s="62">
        <f>(BJ22-BJ21)*'Baseline Inputs'!$B$269/100/2 + BJ21 *'Baseline Inputs'!$B$269/100</f>
        <v>0</v>
      </c>
      <c r="BL22" s="62">
        <f t="shared" si="43"/>
        <v>0</v>
      </c>
      <c r="BM22" s="62">
        <f t="shared" si="19"/>
        <v>0</v>
      </c>
      <c r="BN22" s="62">
        <f t="shared" ref="BN22:BN40" si="64">BN21</f>
        <v>0</v>
      </c>
      <c r="BO22" s="62">
        <f>(BN22-BN21)*'Baseline Inputs'!$B$270/100/2 + BN21 *'Baseline Inputs'!$B$270/100</f>
        <v>0</v>
      </c>
      <c r="BP22" s="62">
        <f t="shared" si="44"/>
        <v>0</v>
      </c>
      <c r="BQ22" s="62">
        <f t="shared" si="20"/>
        <v>0</v>
      </c>
      <c r="BR22" s="62">
        <f t="shared" ref="BR22:BR40" si="65">BR21</f>
        <v>0</v>
      </c>
      <c r="BS22" s="62">
        <f>(BR22-BR21)*'Baseline Inputs'!$B$271/100/2 + BR21 *'Baseline Inputs'!$B$271/100</f>
        <v>0</v>
      </c>
      <c r="BT22" s="62">
        <f t="shared" si="45"/>
        <v>0</v>
      </c>
      <c r="BU22" s="62">
        <f t="shared" si="21"/>
        <v>0</v>
      </c>
      <c r="BV22" s="62">
        <f t="shared" ref="BV22:BV40" si="66">BV21</f>
        <v>0</v>
      </c>
      <c r="BW22" s="62">
        <f>(BV22-BV21)*'Baseline Inputs'!$B$272/100/2 + BV21 *'Baseline Inputs'!$B$272/100</f>
        <v>0</v>
      </c>
      <c r="BX22" s="62">
        <f t="shared" si="46"/>
        <v>0</v>
      </c>
      <c r="BY22" s="62">
        <f t="shared" si="22"/>
        <v>0</v>
      </c>
      <c r="BZ22" s="62">
        <f t="shared" ref="BZ22:BZ40" si="67">BZ21</f>
        <v>0</v>
      </c>
      <c r="CA22" s="62">
        <f>(BZ22-BZ21)*'Baseline Inputs'!$B$273/100/2 + BZ21 *'Baseline Inputs'!$B$273/100</f>
        <v>0</v>
      </c>
      <c r="CB22" s="62">
        <f t="shared" si="47"/>
        <v>0</v>
      </c>
      <c r="CC22" s="62">
        <f t="shared" si="23"/>
        <v>0</v>
      </c>
      <c r="CD22" s="62">
        <f t="shared" si="0"/>
        <v>51331.39</v>
      </c>
      <c r="CE22" s="62">
        <f t="shared" si="1"/>
        <v>1538.7763070000001</v>
      </c>
      <c r="CF22" s="62">
        <f t="shared" si="2"/>
        <v>10002.045995499999</v>
      </c>
      <c r="CG22" s="62">
        <f t="shared" si="3"/>
        <v>41329.344004500002</v>
      </c>
      <c r="CH22" s="62">
        <f>'CCA &amp; Cap Tax'!BL22</f>
        <v>0</v>
      </c>
      <c r="CI22" s="62">
        <f t="shared" si="24"/>
        <v>41329.344004500002</v>
      </c>
      <c r="CJ22" s="40">
        <f t="shared" ref="CJ22:CK40" si="68">CJ21</f>
        <v>0.56000000000000005</v>
      </c>
      <c r="CK22" s="40">
        <f t="shared" si="68"/>
        <v>0.04</v>
      </c>
      <c r="CL22" s="62">
        <f t="shared" si="25"/>
        <v>24797.606402700007</v>
      </c>
      <c r="CM22" s="40">
        <f t="shared" ref="CM22:CM40" si="69">CM21</f>
        <v>2.8500000000000001E-2</v>
      </c>
      <c r="CN22" s="62">
        <f t="shared" si="26"/>
        <v>706.73178247695023</v>
      </c>
    </row>
    <row r="23" spans="1:92" x14ac:dyDescent="0.2">
      <c r="A23" s="4">
        <f t="shared" si="27"/>
        <v>2029</v>
      </c>
      <c r="B23" s="62">
        <f t="shared" si="48"/>
        <v>0</v>
      </c>
      <c r="C23" s="62">
        <f>(B23-B22)*'Baseline Inputs'!$B$252/100/2 + B22 *'Baseline Inputs'!$B$252/100</f>
        <v>0</v>
      </c>
      <c r="D23" s="62">
        <f t="shared" si="28"/>
        <v>0</v>
      </c>
      <c r="E23" s="62">
        <f t="shared" si="4"/>
        <v>0</v>
      </c>
      <c r="F23" s="62">
        <f t="shared" si="49"/>
        <v>0</v>
      </c>
      <c r="G23" s="62">
        <f>(F23-F22)*'Baseline Inputs'!$B$253/100/2 + F22 *'Baseline Inputs'!$B$253/100</f>
        <v>0</v>
      </c>
      <c r="H23" s="62">
        <f t="shared" si="29"/>
        <v>0</v>
      </c>
      <c r="I23" s="62">
        <f t="shared" si="5"/>
        <v>0</v>
      </c>
      <c r="J23" s="62">
        <f t="shared" si="50"/>
        <v>0</v>
      </c>
      <c r="K23" s="62">
        <f>(J23-J22)*'Baseline Inputs'!$B$254/100/2 + J22 *'Baseline Inputs'!$B$254/100</f>
        <v>0</v>
      </c>
      <c r="L23" s="62">
        <f t="shared" si="30"/>
        <v>0</v>
      </c>
      <c r="M23" s="62">
        <f t="shared" si="6"/>
        <v>0</v>
      </c>
      <c r="N23" s="62">
        <f t="shared" si="51"/>
        <v>0</v>
      </c>
      <c r="O23" s="62">
        <f>(N23-N22)*'Baseline Inputs'!$B$255/100/2 + N22 *'Baseline Inputs'!$B$255/100</f>
        <v>0</v>
      </c>
      <c r="P23" s="62">
        <f t="shared" si="31"/>
        <v>0</v>
      </c>
      <c r="Q23" s="62">
        <f t="shared" si="7"/>
        <v>0</v>
      </c>
      <c r="R23" s="62">
        <f t="shared" si="52"/>
        <v>12218.77</v>
      </c>
      <c r="S23" s="62">
        <f>(R23-R22)*'Baseline Inputs'!$B$256/100/2 + R22 *'Baseline Inputs'!$B$256/100</f>
        <v>406.88504100000006</v>
      </c>
      <c r="T23" s="62">
        <f t="shared" si="32"/>
        <v>3051.6378075000002</v>
      </c>
      <c r="U23" s="62">
        <f t="shared" si="8"/>
        <v>9167.1321925000011</v>
      </c>
      <c r="V23" s="62">
        <f t="shared" si="53"/>
        <v>9478.81</v>
      </c>
      <c r="W23" s="62">
        <f>(V23-V22)*'Baseline Inputs'!$B$257/100/2 + V22 *'Baseline Inputs'!$B$257/100</f>
        <v>284.36430000000001</v>
      </c>
      <c r="X23" s="62">
        <f t="shared" si="33"/>
        <v>2132.73225</v>
      </c>
      <c r="Y23" s="62">
        <f t="shared" si="9"/>
        <v>7346.0777499999995</v>
      </c>
      <c r="Z23" s="62">
        <f t="shared" si="54"/>
        <v>29633.81</v>
      </c>
      <c r="AA23" s="62">
        <f>(Z23-Z22)*'Baseline Inputs'!$B$258/100/2 + Z22 *'Baseline Inputs'!$B$258/100</f>
        <v>847.5269659999999</v>
      </c>
      <c r="AB23" s="62">
        <f t="shared" si="34"/>
        <v>6356.4522449999986</v>
      </c>
      <c r="AC23" s="62">
        <f t="shared" si="10"/>
        <v>23277.357755000005</v>
      </c>
      <c r="AD23" s="62">
        <f t="shared" si="55"/>
        <v>0</v>
      </c>
      <c r="AE23" s="62">
        <f>(AD23-AD22)*'Baseline Inputs'!$B$259/100/2 + AD22 *'Baseline Inputs'!$B$259/100</f>
        <v>0</v>
      </c>
      <c r="AF23" s="62">
        <f t="shared" si="35"/>
        <v>0</v>
      </c>
      <c r="AG23" s="62">
        <f t="shared" si="11"/>
        <v>0</v>
      </c>
      <c r="AH23" s="62">
        <f t="shared" si="56"/>
        <v>0</v>
      </c>
      <c r="AI23" s="62">
        <f>(AH23-AH22)*'Baseline Inputs'!$B$260/100/2 + AH22 *'Baseline Inputs'!$B$260/100</f>
        <v>0</v>
      </c>
      <c r="AJ23" s="62">
        <f t="shared" si="36"/>
        <v>0</v>
      </c>
      <c r="AK23" s="62">
        <f t="shared" si="12"/>
        <v>0</v>
      </c>
      <c r="AL23" s="62">
        <f t="shared" si="57"/>
        <v>0</v>
      </c>
      <c r="AM23" s="62">
        <f>(AL23-AL22)*'Baseline Inputs'!$B$261/100/2 + AL22 *'Baseline Inputs'!$B$261/100</f>
        <v>0</v>
      </c>
      <c r="AN23" s="62">
        <f t="shared" si="37"/>
        <v>0</v>
      </c>
      <c r="AO23" s="62">
        <f t="shared" si="13"/>
        <v>0</v>
      </c>
      <c r="AP23" s="62">
        <f t="shared" si="58"/>
        <v>0</v>
      </c>
      <c r="AQ23" s="62">
        <f>(AP23-AP22)*'Baseline Inputs'!$B$264/100/2 + AP22 *'Baseline Inputs'!$B$264/100</f>
        <v>0</v>
      </c>
      <c r="AR23" s="62">
        <f t="shared" si="38"/>
        <v>0</v>
      </c>
      <c r="AS23" s="62">
        <f t="shared" si="14"/>
        <v>0</v>
      </c>
      <c r="AT23" s="62">
        <f t="shared" si="59"/>
        <v>0</v>
      </c>
      <c r="AU23" s="62">
        <f>(AT23-AT22)*'Baseline Inputs'!$B$265/100/2 + AT22 *'Baseline Inputs'!$B$265/100</f>
        <v>0</v>
      </c>
      <c r="AV23" s="62">
        <f t="shared" si="39"/>
        <v>0</v>
      </c>
      <c r="AW23" s="62">
        <f t="shared" si="15"/>
        <v>0</v>
      </c>
      <c r="AX23" s="62">
        <f t="shared" si="60"/>
        <v>0</v>
      </c>
      <c r="AY23" s="62">
        <f>(AX23-AX22)*'Baseline Inputs'!$B$266/100/2 + AX22 *'Baseline Inputs'!$B$266/100</f>
        <v>0</v>
      </c>
      <c r="AZ23" s="62">
        <f t="shared" si="40"/>
        <v>0</v>
      </c>
      <c r="BA23" s="62">
        <f t="shared" si="16"/>
        <v>0</v>
      </c>
      <c r="BB23" s="62">
        <f t="shared" si="61"/>
        <v>0</v>
      </c>
      <c r="BC23" s="62">
        <f>(BB23-BB22)*'Baseline Inputs'!$B$267/100/2 + BB22 *'Baseline Inputs'!$B$267/100</f>
        <v>0</v>
      </c>
      <c r="BD23" s="62">
        <f t="shared" si="41"/>
        <v>0</v>
      </c>
      <c r="BE23" s="62">
        <f t="shared" si="17"/>
        <v>0</v>
      </c>
      <c r="BF23" s="62">
        <f t="shared" si="62"/>
        <v>0</v>
      </c>
      <c r="BG23" s="62">
        <f>(BF23-BF22)*'Baseline Inputs'!$B$268/100/2 + BF22 *'Baseline Inputs'!$B$268/100</f>
        <v>0</v>
      </c>
      <c r="BH23" s="62">
        <f t="shared" si="42"/>
        <v>0</v>
      </c>
      <c r="BI23" s="62">
        <f t="shared" si="18"/>
        <v>0</v>
      </c>
      <c r="BJ23" s="62">
        <f t="shared" si="63"/>
        <v>0</v>
      </c>
      <c r="BK23" s="62">
        <f>(BJ23-BJ22)*'Baseline Inputs'!$B$269/100/2 + BJ22 *'Baseline Inputs'!$B$269/100</f>
        <v>0</v>
      </c>
      <c r="BL23" s="62">
        <f t="shared" si="43"/>
        <v>0</v>
      </c>
      <c r="BM23" s="62">
        <f t="shared" si="19"/>
        <v>0</v>
      </c>
      <c r="BN23" s="62">
        <f t="shared" si="64"/>
        <v>0</v>
      </c>
      <c r="BO23" s="62">
        <f>(BN23-BN22)*'Baseline Inputs'!$B$270/100/2 + BN22 *'Baseline Inputs'!$B$270/100</f>
        <v>0</v>
      </c>
      <c r="BP23" s="62">
        <f t="shared" si="44"/>
        <v>0</v>
      </c>
      <c r="BQ23" s="62">
        <f t="shared" si="20"/>
        <v>0</v>
      </c>
      <c r="BR23" s="62">
        <f t="shared" si="65"/>
        <v>0</v>
      </c>
      <c r="BS23" s="62">
        <f>(BR23-BR22)*'Baseline Inputs'!$B$271/100/2 + BR22 *'Baseline Inputs'!$B$271/100</f>
        <v>0</v>
      </c>
      <c r="BT23" s="62">
        <f t="shared" si="45"/>
        <v>0</v>
      </c>
      <c r="BU23" s="62">
        <f t="shared" si="21"/>
        <v>0</v>
      </c>
      <c r="BV23" s="62">
        <f t="shared" si="66"/>
        <v>0</v>
      </c>
      <c r="BW23" s="62">
        <f>(BV23-BV22)*'Baseline Inputs'!$B$272/100/2 + BV22 *'Baseline Inputs'!$B$272/100</f>
        <v>0</v>
      </c>
      <c r="BX23" s="62">
        <f t="shared" si="46"/>
        <v>0</v>
      </c>
      <c r="BY23" s="62">
        <f t="shared" si="22"/>
        <v>0</v>
      </c>
      <c r="BZ23" s="62">
        <f t="shared" si="67"/>
        <v>0</v>
      </c>
      <c r="CA23" s="62">
        <f>(BZ23-BZ22)*'Baseline Inputs'!$B$273/100/2 + BZ22 *'Baseline Inputs'!$B$273/100</f>
        <v>0</v>
      </c>
      <c r="CB23" s="62">
        <f t="shared" si="47"/>
        <v>0</v>
      </c>
      <c r="CC23" s="62">
        <f t="shared" si="23"/>
        <v>0</v>
      </c>
      <c r="CD23" s="62">
        <f t="shared" si="0"/>
        <v>51331.39</v>
      </c>
      <c r="CE23" s="62">
        <f t="shared" si="1"/>
        <v>1538.7763070000001</v>
      </c>
      <c r="CF23" s="62">
        <f t="shared" si="2"/>
        <v>11540.822302499999</v>
      </c>
      <c r="CG23" s="62">
        <f t="shared" si="3"/>
        <v>39790.56769750001</v>
      </c>
      <c r="CH23" s="62">
        <f>'CCA &amp; Cap Tax'!BL23</f>
        <v>0</v>
      </c>
      <c r="CI23" s="62">
        <f t="shared" si="24"/>
        <v>39790.56769750001</v>
      </c>
      <c r="CJ23" s="40">
        <f t="shared" si="68"/>
        <v>0.56000000000000005</v>
      </c>
      <c r="CK23" s="40">
        <f t="shared" si="68"/>
        <v>0.04</v>
      </c>
      <c r="CL23" s="62">
        <f t="shared" si="25"/>
        <v>23874.340618500009</v>
      </c>
      <c r="CM23" s="40">
        <f t="shared" si="69"/>
        <v>2.8500000000000001E-2</v>
      </c>
      <c r="CN23" s="62">
        <f t="shared" si="26"/>
        <v>680.41870762725034</v>
      </c>
    </row>
    <row r="24" spans="1:92" x14ac:dyDescent="0.2">
      <c r="A24" s="4">
        <f t="shared" si="27"/>
        <v>2030</v>
      </c>
      <c r="B24" s="62">
        <f t="shared" si="48"/>
        <v>0</v>
      </c>
      <c r="C24" s="62">
        <f>(B24-B23)*'Baseline Inputs'!$B$252/100/2 + B23 *'Baseline Inputs'!$B$252/100</f>
        <v>0</v>
      </c>
      <c r="D24" s="62">
        <f t="shared" si="28"/>
        <v>0</v>
      </c>
      <c r="E24" s="62">
        <f t="shared" si="4"/>
        <v>0</v>
      </c>
      <c r="F24" s="62">
        <f t="shared" si="49"/>
        <v>0</v>
      </c>
      <c r="G24" s="62">
        <f>(F24-F23)*'Baseline Inputs'!$B$253/100/2 + F23 *'Baseline Inputs'!$B$253/100</f>
        <v>0</v>
      </c>
      <c r="H24" s="62">
        <f t="shared" si="29"/>
        <v>0</v>
      </c>
      <c r="I24" s="62">
        <f t="shared" si="5"/>
        <v>0</v>
      </c>
      <c r="J24" s="62">
        <f t="shared" si="50"/>
        <v>0</v>
      </c>
      <c r="K24" s="62">
        <f>(J24-J23)*'Baseline Inputs'!$B$254/100/2 + J23 *'Baseline Inputs'!$B$254/100</f>
        <v>0</v>
      </c>
      <c r="L24" s="62">
        <f t="shared" si="30"/>
        <v>0</v>
      </c>
      <c r="M24" s="62">
        <f t="shared" si="6"/>
        <v>0</v>
      </c>
      <c r="N24" s="62">
        <f t="shared" si="51"/>
        <v>0</v>
      </c>
      <c r="O24" s="62">
        <f>(N24-N23)*'Baseline Inputs'!$B$255/100/2 + N23 *'Baseline Inputs'!$B$255/100</f>
        <v>0</v>
      </c>
      <c r="P24" s="62">
        <f t="shared" si="31"/>
        <v>0</v>
      </c>
      <c r="Q24" s="62">
        <f t="shared" si="7"/>
        <v>0</v>
      </c>
      <c r="R24" s="62">
        <f t="shared" si="52"/>
        <v>12218.77</v>
      </c>
      <c r="S24" s="62">
        <f>(R24-R23)*'Baseline Inputs'!$B$256/100/2 + R23 *'Baseline Inputs'!$B$256/100</f>
        <v>406.88504100000006</v>
      </c>
      <c r="T24" s="62">
        <f t="shared" si="32"/>
        <v>3458.5228485000002</v>
      </c>
      <c r="U24" s="62">
        <f t="shared" si="8"/>
        <v>8760.2471514999997</v>
      </c>
      <c r="V24" s="62">
        <f t="shared" si="53"/>
        <v>9478.81</v>
      </c>
      <c r="W24" s="62">
        <f>(V24-V23)*'Baseline Inputs'!$B$257/100/2 + V23 *'Baseline Inputs'!$B$257/100</f>
        <v>284.36430000000001</v>
      </c>
      <c r="X24" s="62">
        <f t="shared" si="33"/>
        <v>2417.0965500000002</v>
      </c>
      <c r="Y24" s="62">
        <f t="shared" si="9"/>
        <v>7061.7134499999993</v>
      </c>
      <c r="Z24" s="62">
        <f t="shared" si="54"/>
        <v>29633.81</v>
      </c>
      <c r="AA24" s="62">
        <f>(Z24-Z23)*'Baseline Inputs'!$B$258/100/2 + Z23 *'Baseline Inputs'!$B$258/100</f>
        <v>847.5269659999999</v>
      </c>
      <c r="AB24" s="62">
        <f t="shared" si="34"/>
        <v>7203.979210999998</v>
      </c>
      <c r="AC24" s="62">
        <f t="shared" si="10"/>
        <v>22429.830789000003</v>
      </c>
      <c r="AD24" s="62">
        <f t="shared" si="55"/>
        <v>0</v>
      </c>
      <c r="AE24" s="62">
        <f>(AD24-AD23)*'Baseline Inputs'!$B$259/100/2 + AD23 *'Baseline Inputs'!$B$259/100</f>
        <v>0</v>
      </c>
      <c r="AF24" s="62">
        <f t="shared" si="35"/>
        <v>0</v>
      </c>
      <c r="AG24" s="62">
        <f t="shared" si="11"/>
        <v>0</v>
      </c>
      <c r="AH24" s="62">
        <f t="shared" si="56"/>
        <v>0</v>
      </c>
      <c r="AI24" s="62">
        <f>(AH24-AH23)*'Baseline Inputs'!$B$260/100/2 + AH23 *'Baseline Inputs'!$B$260/100</f>
        <v>0</v>
      </c>
      <c r="AJ24" s="62">
        <f t="shared" si="36"/>
        <v>0</v>
      </c>
      <c r="AK24" s="62">
        <f t="shared" si="12"/>
        <v>0</v>
      </c>
      <c r="AL24" s="62">
        <f t="shared" si="57"/>
        <v>0</v>
      </c>
      <c r="AM24" s="62">
        <f>(AL24-AL23)*'Baseline Inputs'!$B$261/100/2 + AL23 *'Baseline Inputs'!$B$261/100</f>
        <v>0</v>
      </c>
      <c r="AN24" s="62">
        <f t="shared" si="37"/>
        <v>0</v>
      </c>
      <c r="AO24" s="62">
        <f t="shared" si="13"/>
        <v>0</v>
      </c>
      <c r="AP24" s="62">
        <f t="shared" si="58"/>
        <v>0</v>
      </c>
      <c r="AQ24" s="62">
        <f>(AP24-AP23)*'Baseline Inputs'!$B$264/100/2 + AP23 *'Baseline Inputs'!$B$264/100</f>
        <v>0</v>
      </c>
      <c r="AR24" s="62">
        <f t="shared" si="38"/>
        <v>0</v>
      </c>
      <c r="AS24" s="62">
        <f t="shared" si="14"/>
        <v>0</v>
      </c>
      <c r="AT24" s="62">
        <f t="shared" si="59"/>
        <v>0</v>
      </c>
      <c r="AU24" s="62">
        <f>(AT24-AT23)*'Baseline Inputs'!$B$265/100/2 + AT23 *'Baseline Inputs'!$B$265/100</f>
        <v>0</v>
      </c>
      <c r="AV24" s="62">
        <f t="shared" si="39"/>
        <v>0</v>
      </c>
      <c r="AW24" s="62">
        <f t="shared" si="15"/>
        <v>0</v>
      </c>
      <c r="AX24" s="62">
        <f t="shared" si="60"/>
        <v>0</v>
      </c>
      <c r="AY24" s="62">
        <f>(AX24-AX23)*'Baseline Inputs'!$B$266/100/2 + AX23 *'Baseline Inputs'!$B$266/100</f>
        <v>0</v>
      </c>
      <c r="AZ24" s="62">
        <f t="shared" si="40"/>
        <v>0</v>
      </c>
      <c r="BA24" s="62">
        <f t="shared" si="16"/>
        <v>0</v>
      </c>
      <c r="BB24" s="62">
        <f t="shared" si="61"/>
        <v>0</v>
      </c>
      <c r="BC24" s="62">
        <f>(BB24-BB23)*'Baseline Inputs'!$B$267/100/2 + BB23 *'Baseline Inputs'!$B$267/100</f>
        <v>0</v>
      </c>
      <c r="BD24" s="62">
        <f t="shared" si="41"/>
        <v>0</v>
      </c>
      <c r="BE24" s="62">
        <f t="shared" si="17"/>
        <v>0</v>
      </c>
      <c r="BF24" s="62">
        <f t="shared" si="62"/>
        <v>0</v>
      </c>
      <c r="BG24" s="62">
        <f>(BF24-BF23)*'Baseline Inputs'!$B$268/100/2 + BF23 *'Baseline Inputs'!$B$268/100</f>
        <v>0</v>
      </c>
      <c r="BH24" s="62">
        <f t="shared" si="42"/>
        <v>0</v>
      </c>
      <c r="BI24" s="62">
        <f t="shared" si="18"/>
        <v>0</v>
      </c>
      <c r="BJ24" s="62">
        <f t="shared" si="63"/>
        <v>0</v>
      </c>
      <c r="BK24" s="62">
        <f>(BJ24-BJ23)*'Baseline Inputs'!$B$269/100/2 + BJ23 *'Baseline Inputs'!$B$269/100</f>
        <v>0</v>
      </c>
      <c r="BL24" s="62">
        <f t="shared" si="43"/>
        <v>0</v>
      </c>
      <c r="BM24" s="62">
        <f t="shared" si="19"/>
        <v>0</v>
      </c>
      <c r="BN24" s="62">
        <f t="shared" si="64"/>
        <v>0</v>
      </c>
      <c r="BO24" s="62">
        <f>(BN24-BN23)*'Baseline Inputs'!$B$270/100/2 + BN23 *'Baseline Inputs'!$B$270/100</f>
        <v>0</v>
      </c>
      <c r="BP24" s="62">
        <f t="shared" si="44"/>
        <v>0</v>
      </c>
      <c r="BQ24" s="62">
        <f t="shared" si="20"/>
        <v>0</v>
      </c>
      <c r="BR24" s="62">
        <f t="shared" si="65"/>
        <v>0</v>
      </c>
      <c r="BS24" s="62">
        <f>(BR24-BR23)*'Baseline Inputs'!$B$271/100/2 + BR23 *'Baseline Inputs'!$B$271/100</f>
        <v>0</v>
      </c>
      <c r="BT24" s="62">
        <f t="shared" si="45"/>
        <v>0</v>
      </c>
      <c r="BU24" s="62">
        <f t="shared" si="21"/>
        <v>0</v>
      </c>
      <c r="BV24" s="62">
        <f t="shared" si="66"/>
        <v>0</v>
      </c>
      <c r="BW24" s="62">
        <f>(BV24-BV23)*'Baseline Inputs'!$B$272/100/2 + BV23 *'Baseline Inputs'!$B$272/100</f>
        <v>0</v>
      </c>
      <c r="BX24" s="62">
        <f t="shared" si="46"/>
        <v>0</v>
      </c>
      <c r="BY24" s="62">
        <f t="shared" si="22"/>
        <v>0</v>
      </c>
      <c r="BZ24" s="62">
        <f t="shared" si="67"/>
        <v>0</v>
      </c>
      <c r="CA24" s="62">
        <f>(BZ24-BZ23)*'Baseline Inputs'!$B$273/100/2 + BZ23 *'Baseline Inputs'!$B$273/100</f>
        <v>0</v>
      </c>
      <c r="CB24" s="62">
        <f t="shared" si="47"/>
        <v>0</v>
      </c>
      <c r="CC24" s="62">
        <f t="shared" si="23"/>
        <v>0</v>
      </c>
      <c r="CD24" s="62">
        <f t="shared" si="0"/>
        <v>51331.39</v>
      </c>
      <c r="CE24" s="62">
        <f t="shared" si="1"/>
        <v>1538.7763070000001</v>
      </c>
      <c r="CF24" s="62">
        <f t="shared" si="2"/>
        <v>13079.598609499999</v>
      </c>
      <c r="CG24" s="62">
        <f t="shared" si="3"/>
        <v>38251.791390500002</v>
      </c>
      <c r="CH24" s="62">
        <f>'CCA &amp; Cap Tax'!BL24</f>
        <v>0</v>
      </c>
      <c r="CI24" s="62">
        <f t="shared" si="24"/>
        <v>38251.791390500002</v>
      </c>
      <c r="CJ24" s="40">
        <f t="shared" si="68"/>
        <v>0.56000000000000005</v>
      </c>
      <c r="CK24" s="40">
        <f t="shared" si="68"/>
        <v>0.04</v>
      </c>
      <c r="CL24" s="62">
        <f t="shared" si="25"/>
        <v>22951.074834300005</v>
      </c>
      <c r="CM24" s="40">
        <f t="shared" si="69"/>
        <v>2.8500000000000001E-2</v>
      </c>
      <c r="CN24" s="62">
        <f t="shared" si="26"/>
        <v>654.10563277755011</v>
      </c>
    </row>
    <row r="25" spans="1:92" x14ac:dyDescent="0.2">
      <c r="A25" s="4">
        <f t="shared" si="27"/>
        <v>2031</v>
      </c>
      <c r="B25" s="62">
        <f t="shared" si="48"/>
        <v>0</v>
      </c>
      <c r="C25" s="62">
        <f>(B25-B24)*'Baseline Inputs'!$B$252/100/2 + B24 *'Baseline Inputs'!$B$252/100</f>
        <v>0</v>
      </c>
      <c r="D25" s="62">
        <f t="shared" si="28"/>
        <v>0</v>
      </c>
      <c r="E25" s="62">
        <f t="shared" si="4"/>
        <v>0</v>
      </c>
      <c r="F25" s="62">
        <f t="shared" si="49"/>
        <v>0</v>
      </c>
      <c r="G25" s="62">
        <f>(F25-F24)*'Baseline Inputs'!$B$253/100/2 + F24 *'Baseline Inputs'!$B$253/100</f>
        <v>0</v>
      </c>
      <c r="H25" s="62">
        <f t="shared" si="29"/>
        <v>0</v>
      </c>
      <c r="I25" s="62">
        <f t="shared" si="5"/>
        <v>0</v>
      </c>
      <c r="J25" s="62">
        <f t="shared" si="50"/>
        <v>0</v>
      </c>
      <c r="K25" s="62">
        <f>(J25-J24)*'Baseline Inputs'!$B$254/100/2 + J24 *'Baseline Inputs'!$B$254/100</f>
        <v>0</v>
      </c>
      <c r="L25" s="62">
        <f t="shared" si="30"/>
        <v>0</v>
      </c>
      <c r="M25" s="62">
        <f t="shared" si="6"/>
        <v>0</v>
      </c>
      <c r="N25" s="62">
        <f t="shared" si="51"/>
        <v>0</v>
      </c>
      <c r="O25" s="62">
        <f>(N25-N24)*'Baseline Inputs'!$B$255/100/2 + N24 *'Baseline Inputs'!$B$255/100</f>
        <v>0</v>
      </c>
      <c r="P25" s="62">
        <f t="shared" si="31"/>
        <v>0</v>
      </c>
      <c r="Q25" s="62">
        <f t="shared" si="7"/>
        <v>0</v>
      </c>
      <c r="R25" s="62">
        <f t="shared" si="52"/>
        <v>12218.77</v>
      </c>
      <c r="S25" s="62">
        <f>(R25-R24)*'Baseline Inputs'!$B$256/100/2 + R24 *'Baseline Inputs'!$B$256/100</f>
        <v>406.88504100000006</v>
      </c>
      <c r="T25" s="62">
        <f t="shared" si="32"/>
        <v>3865.4078895000002</v>
      </c>
      <c r="U25" s="62">
        <f t="shared" si="8"/>
        <v>8353.3621105000002</v>
      </c>
      <c r="V25" s="62">
        <f t="shared" si="53"/>
        <v>9478.81</v>
      </c>
      <c r="W25" s="62">
        <f>(V25-V24)*'Baseline Inputs'!$B$257/100/2 + V24 *'Baseline Inputs'!$B$257/100</f>
        <v>284.36430000000001</v>
      </c>
      <c r="X25" s="62">
        <f t="shared" si="33"/>
        <v>2701.4608500000004</v>
      </c>
      <c r="Y25" s="62">
        <f t="shared" si="9"/>
        <v>6777.3491499999991</v>
      </c>
      <c r="Z25" s="62">
        <f t="shared" si="54"/>
        <v>29633.81</v>
      </c>
      <c r="AA25" s="62">
        <f>(Z25-Z24)*'Baseline Inputs'!$B$258/100/2 + Z24 *'Baseline Inputs'!$B$258/100</f>
        <v>847.5269659999999</v>
      </c>
      <c r="AB25" s="62">
        <f t="shared" si="34"/>
        <v>8051.5061769999975</v>
      </c>
      <c r="AC25" s="62">
        <f t="shared" si="10"/>
        <v>21582.303823000002</v>
      </c>
      <c r="AD25" s="62">
        <f t="shared" si="55"/>
        <v>0</v>
      </c>
      <c r="AE25" s="62">
        <f>(AD25-AD24)*'Baseline Inputs'!$B$259/100/2 + AD24 *'Baseline Inputs'!$B$259/100</f>
        <v>0</v>
      </c>
      <c r="AF25" s="62">
        <f t="shared" si="35"/>
        <v>0</v>
      </c>
      <c r="AG25" s="62">
        <f t="shared" si="11"/>
        <v>0</v>
      </c>
      <c r="AH25" s="62">
        <f t="shared" si="56"/>
        <v>0</v>
      </c>
      <c r="AI25" s="62">
        <f>(AH25-AH24)*'Baseline Inputs'!$B$260/100/2 + AH24 *'Baseline Inputs'!$B$260/100</f>
        <v>0</v>
      </c>
      <c r="AJ25" s="62">
        <f t="shared" si="36"/>
        <v>0</v>
      </c>
      <c r="AK25" s="62">
        <f t="shared" si="12"/>
        <v>0</v>
      </c>
      <c r="AL25" s="62">
        <f t="shared" si="57"/>
        <v>0</v>
      </c>
      <c r="AM25" s="62">
        <f>(AL25-AL24)*'Baseline Inputs'!$B$261/100/2 + AL24 *'Baseline Inputs'!$B$261/100</f>
        <v>0</v>
      </c>
      <c r="AN25" s="62">
        <f t="shared" si="37"/>
        <v>0</v>
      </c>
      <c r="AO25" s="62">
        <f t="shared" si="13"/>
        <v>0</v>
      </c>
      <c r="AP25" s="62">
        <f t="shared" si="58"/>
        <v>0</v>
      </c>
      <c r="AQ25" s="62">
        <f>(AP25-AP24)*'Baseline Inputs'!$B$264/100/2 + AP24 *'Baseline Inputs'!$B$264/100</f>
        <v>0</v>
      </c>
      <c r="AR25" s="62">
        <f t="shared" si="38"/>
        <v>0</v>
      </c>
      <c r="AS25" s="62">
        <f t="shared" si="14"/>
        <v>0</v>
      </c>
      <c r="AT25" s="62">
        <f t="shared" si="59"/>
        <v>0</v>
      </c>
      <c r="AU25" s="62">
        <f>(AT25-AT24)*'Baseline Inputs'!$B$265/100/2 + AT24 *'Baseline Inputs'!$B$265/100</f>
        <v>0</v>
      </c>
      <c r="AV25" s="62">
        <f t="shared" si="39"/>
        <v>0</v>
      </c>
      <c r="AW25" s="62">
        <f t="shared" si="15"/>
        <v>0</v>
      </c>
      <c r="AX25" s="62">
        <f t="shared" si="60"/>
        <v>0</v>
      </c>
      <c r="AY25" s="62">
        <f>(AX25-AX24)*'Baseline Inputs'!$B$266/100/2 + AX24 *'Baseline Inputs'!$B$266/100</f>
        <v>0</v>
      </c>
      <c r="AZ25" s="62">
        <f t="shared" si="40"/>
        <v>0</v>
      </c>
      <c r="BA25" s="62">
        <f t="shared" si="16"/>
        <v>0</v>
      </c>
      <c r="BB25" s="62">
        <f t="shared" si="61"/>
        <v>0</v>
      </c>
      <c r="BC25" s="62">
        <f>(BB25-BB24)*'Baseline Inputs'!$B$267/100/2 + BB24 *'Baseline Inputs'!$B$267/100</f>
        <v>0</v>
      </c>
      <c r="BD25" s="62">
        <f t="shared" si="41"/>
        <v>0</v>
      </c>
      <c r="BE25" s="62">
        <f t="shared" si="17"/>
        <v>0</v>
      </c>
      <c r="BF25" s="62">
        <f t="shared" si="62"/>
        <v>0</v>
      </c>
      <c r="BG25" s="62">
        <f>(BF25-BF24)*'Baseline Inputs'!$B$268/100/2 + BF24 *'Baseline Inputs'!$B$268/100</f>
        <v>0</v>
      </c>
      <c r="BH25" s="62">
        <f t="shared" si="42"/>
        <v>0</v>
      </c>
      <c r="BI25" s="62">
        <f t="shared" si="18"/>
        <v>0</v>
      </c>
      <c r="BJ25" s="62">
        <f t="shared" si="63"/>
        <v>0</v>
      </c>
      <c r="BK25" s="62">
        <f>(BJ25-BJ24)*'Baseline Inputs'!$B$269/100/2 + BJ24 *'Baseline Inputs'!$B$269/100</f>
        <v>0</v>
      </c>
      <c r="BL25" s="62">
        <f t="shared" si="43"/>
        <v>0</v>
      </c>
      <c r="BM25" s="62">
        <f t="shared" si="19"/>
        <v>0</v>
      </c>
      <c r="BN25" s="62">
        <f t="shared" si="64"/>
        <v>0</v>
      </c>
      <c r="BO25" s="62">
        <f>(BN25-BN24)*'Baseline Inputs'!$B$270/100/2 + BN24 *'Baseline Inputs'!$B$270/100</f>
        <v>0</v>
      </c>
      <c r="BP25" s="62">
        <f t="shared" si="44"/>
        <v>0</v>
      </c>
      <c r="BQ25" s="62">
        <f t="shared" si="20"/>
        <v>0</v>
      </c>
      <c r="BR25" s="62">
        <f t="shared" si="65"/>
        <v>0</v>
      </c>
      <c r="BS25" s="62">
        <f>(BR25-BR24)*'Baseline Inputs'!$B$271/100/2 + BR24 *'Baseline Inputs'!$B$271/100</f>
        <v>0</v>
      </c>
      <c r="BT25" s="62">
        <f t="shared" si="45"/>
        <v>0</v>
      </c>
      <c r="BU25" s="62">
        <f t="shared" si="21"/>
        <v>0</v>
      </c>
      <c r="BV25" s="62">
        <f t="shared" si="66"/>
        <v>0</v>
      </c>
      <c r="BW25" s="62">
        <f>(BV25-BV24)*'Baseline Inputs'!$B$272/100/2 + BV24 *'Baseline Inputs'!$B$272/100</f>
        <v>0</v>
      </c>
      <c r="BX25" s="62">
        <f t="shared" si="46"/>
        <v>0</v>
      </c>
      <c r="BY25" s="62">
        <f t="shared" si="22"/>
        <v>0</v>
      </c>
      <c r="BZ25" s="62">
        <f t="shared" si="67"/>
        <v>0</v>
      </c>
      <c r="CA25" s="62">
        <f>(BZ25-BZ24)*'Baseline Inputs'!$B$273/100/2 + BZ24 *'Baseline Inputs'!$B$273/100</f>
        <v>0</v>
      </c>
      <c r="CB25" s="62">
        <f t="shared" si="47"/>
        <v>0</v>
      </c>
      <c r="CC25" s="62">
        <f t="shared" si="23"/>
        <v>0</v>
      </c>
      <c r="CD25" s="62">
        <f t="shared" si="0"/>
        <v>51331.39</v>
      </c>
      <c r="CE25" s="62">
        <f t="shared" si="1"/>
        <v>1538.7763070000001</v>
      </c>
      <c r="CF25" s="62">
        <f t="shared" si="2"/>
        <v>14618.374916499997</v>
      </c>
      <c r="CG25" s="62">
        <f t="shared" si="3"/>
        <v>36713.015083500002</v>
      </c>
      <c r="CH25" s="62">
        <f>'CCA &amp; Cap Tax'!BL25</f>
        <v>0</v>
      </c>
      <c r="CI25" s="62">
        <f t="shared" si="24"/>
        <v>36713.015083500002</v>
      </c>
      <c r="CJ25" s="40">
        <f t="shared" si="68"/>
        <v>0.56000000000000005</v>
      </c>
      <c r="CK25" s="40">
        <f t="shared" si="68"/>
        <v>0.04</v>
      </c>
      <c r="CL25" s="62">
        <f t="shared" si="25"/>
        <v>22027.809050100004</v>
      </c>
      <c r="CM25" s="40">
        <f t="shared" si="69"/>
        <v>2.8500000000000001E-2</v>
      </c>
      <c r="CN25" s="62">
        <f t="shared" si="26"/>
        <v>627.79255792785011</v>
      </c>
    </row>
    <row r="26" spans="1:92" x14ac:dyDescent="0.2">
      <c r="A26" s="4">
        <f t="shared" si="27"/>
        <v>2032</v>
      </c>
      <c r="B26" s="62">
        <f t="shared" si="48"/>
        <v>0</v>
      </c>
      <c r="C26" s="62">
        <f>(B26-B25)*'Baseline Inputs'!$B$252/100/2 + B25 *'Baseline Inputs'!$B$252/100</f>
        <v>0</v>
      </c>
      <c r="D26" s="62">
        <f t="shared" si="28"/>
        <v>0</v>
      </c>
      <c r="E26" s="62">
        <f t="shared" si="4"/>
        <v>0</v>
      </c>
      <c r="F26" s="62">
        <f t="shared" si="49"/>
        <v>0</v>
      </c>
      <c r="G26" s="62">
        <f>(F26-F25)*'Baseline Inputs'!$B$253/100/2 + F25 *'Baseline Inputs'!$B$253/100</f>
        <v>0</v>
      </c>
      <c r="H26" s="62">
        <f t="shared" si="29"/>
        <v>0</v>
      </c>
      <c r="I26" s="62">
        <f t="shared" si="5"/>
        <v>0</v>
      </c>
      <c r="J26" s="62">
        <f t="shared" si="50"/>
        <v>0</v>
      </c>
      <c r="K26" s="62">
        <f>(J26-J25)*'Baseline Inputs'!$B$254/100/2 + J25 *'Baseline Inputs'!$B$254/100</f>
        <v>0</v>
      </c>
      <c r="L26" s="62">
        <f t="shared" si="30"/>
        <v>0</v>
      </c>
      <c r="M26" s="62">
        <f t="shared" si="6"/>
        <v>0</v>
      </c>
      <c r="N26" s="62">
        <f t="shared" si="51"/>
        <v>0</v>
      </c>
      <c r="O26" s="62">
        <f>(N26-N25)*'Baseline Inputs'!$B$255/100/2 + N25 *'Baseline Inputs'!$B$255/100</f>
        <v>0</v>
      </c>
      <c r="P26" s="62">
        <f t="shared" si="31"/>
        <v>0</v>
      </c>
      <c r="Q26" s="62">
        <f t="shared" si="7"/>
        <v>0</v>
      </c>
      <c r="R26" s="62">
        <f t="shared" si="52"/>
        <v>12218.77</v>
      </c>
      <c r="S26" s="62">
        <f>(R26-R25)*'Baseline Inputs'!$B$256/100/2 + R25 *'Baseline Inputs'!$B$256/100</f>
        <v>406.88504100000006</v>
      </c>
      <c r="T26" s="62">
        <f t="shared" si="32"/>
        <v>4272.2929305000007</v>
      </c>
      <c r="U26" s="62">
        <f t="shared" si="8"/>
        <v>7946.4770694999997</v>
      </c>
      <c r="V26" s="62">
        <f t="shared" si="53"/>
        <v>9478.81</v>
      </c>
      <c r="W26" s="62">
        <f>(V26-V25)*'Baseline Inputs'!$B$257/100/2 + V25 *'Baseline Inputs'!$B$257/100</f>
        <v>284.36430000000001</v>
      </c>
      <c r="X26" s="62">
        <f t="shared" si="33"/>
        <v>2985.8251500000006</v>
      </c>
      <c r="Y26" s="62">
        <f t="shared" si="9"/>
        <v>6492.9848499999989</v>
      </c>
      <c r="Z26" s="62">
        <f t="shared" si="54"/>
        <v>29633.81</v>
      </c>
      <c r="AA26" s="62">
        <f>(Z26-Z25)*'Baseline Inputs'!$B$258/100/2 + Z25 *'Baseline Inputs'!$B$258/100</f>
        <v>847.5269659999999</v>
      </c>
      <c r="AB26" s="62">
        <f t="shared" si="34"/>
        <v>8899.0331429999969</v>
      </c>
      <c r="AC26" s="62">
        <f t="shared" si="10"/>
        <v>20734.776857000004</v>
      </c>
      <c r="AD26" s="62">
        <f t="shared" si="55"/>
        <v>0</v>
      </c>
      <c r="AE26" s="62">
        <f>(AD26-AD25)*'Baseline Inputs'!$B$259/100/2 + AD25 *'Baseline Inputs'!$B$259/100</f>
        <v>0</v>
      </c>
      <c r="AF26" s="62">
        <f t="shared" si="35"/>
        <v>0</v>
      </c>
      <c r="AG26" s="62">
        <f t="shared" si="11"/>
        <v>0</v>
      </c>
      <c r="AH26" s="62">
        <f t="shared" si="56"/>
        <v>0</v>
      </c>
      <c r="AI26" s="62">
        <f>(AH26-AH25)*'Baseline Inputs'!$B$260/100/2 + AH25 *'Baseline Inputs'!$B$260/100</f>
        <v>0</v>
      </c>
      <c r="AJ26" s="62">
        <f t="shared" si="36"/>
        <v>0</v>
      </c>
      <c r="AK26" s="62">
        <f t="shared" si="12"/>
        <v>0</v>
      </c>
      <c r="AL26" s="62">
        <f t="shared" si="57"/>
        <v>0</v>
      </c>
      <c r="AM26" s="62">
        <f>(AL26-AL25)*'Baseline Inputs'!$B$261/100/2 + AL25 *'Baseline Inputs'!$B$261/100</f>
        <v>0</v>
      </c>
      <c r="AN26" s="62">
        <f t="shared" si="37"/>
        <v>0</v>
      </c>
      <c r="AO26" s="62">
        <f t="shared" si="13"/>
        <v>0</v>
      </c>
      <c r="AP26" s="62">
        <f t="shared" si="58"/>
        <v>0</v>
      </c>
      <c r="AQ26" s="62">
        <f>(AP26-AP25)*'Baseline Inputs'!$B$264/100/2 + AP25 *'Baseline Inputs'!$B$264/100</f>
        <v>0</v>
      </c>
      <c r="AR26" s="62">
        <f t="shared" si="38"/>
        <v>0</v>
      </c>
      <c r="AS26" s="62">
        <f t="shared" si="14"/>
        <v>0</v>
      </c>
      <c r="AT26" s="62">
        <f t="shared" si="59"/>
        <v>0</v>
      </c>
      <c r="AU26" s="62">
        <f>(AT26-AT25)*'Baseline Inputs'!$B$265/100/2 + AT25 *'Baseline Inputs'!$B$265/100</f>
        <v>0</v>
      </c>
      <c r="AV26" s="62">
        <f t="shared" si="39"/>
        <v>0</v>
      </c>
      <c r="AW26" s="62">
        <f t="shared" si="15"/>
        <v>0</v>
      </c>
      <c r="AX26" s="62">
        <f t="shared" si="60"/>
        <v>0</v>
      </c>
      <c r="AY26" s="62">
        <f>(AX26-AX25)*'Baseline Inputs'!$B$266/100/2 + AX25 *'Baseline Inputs'!$B$266/100</f>
        <v>0</v>
      </c>
      <c r="AZ26" s="62">
        <f t="shared" si="40"/>
        <v>0</v>
      </c>
      <c r="BA26" s="62">
        <f t="shared" si="16"/>
        <v>0</v>
      </c>
      <c r="BB26" s="62">
        <f t="shared" si="61"/>
        <v>0</v>
      </c>
      <c r="BC26" s="62">
        <f>(BB26-BB25)*'Baseline Inputs'!$B$267/100/2 + BB25 *'Baseline Inputs'!$B$267/100</f>
        <v>0</v>
      </c>
      <c r="BD26" s="62">
        <f t="shared" si="41"/>
        <v>0</v>
      </c>
      <c r="BE26" s="62">
        <f t="shared" si="17"/>
        <v>0</v>
      </c>
      <c r="BF26" s="62">
        <f t="shared" si="62"/>
        <v>0</v>
      </c>
      <c r="BG26" s="62">
        <f>(BF26-BF25)*'Baseline Inputs'!$B$268/100/2 + BF25 *'Baseline Inputs'!$B$268/100</f>
        <v>0</v>
      </c>
      <c r="BH26" s="62">
        <f t="shared" si="42"/>
        <v>0</v>
      </c>
      <c r="BI26" s="62">
        <f t="shared" si="18"/>
        <v>0</v>
      </c>
      <c r="BJ26" s="62">
        <f t="shared" si="63"/>
        <v>0</v>
      </c>
      <c r="BK26" s="62">
        <f>(BJ26-BJ25)*'Baseline Inputs'!$B$269/100/2 + BJ25 *'Baseline Inputs'!$B$269/100</f>
        <v>0</v>
      </c>
      <c r="BL26" s="62">
        <f t="shared" si="43"/>
        <v>0</v>
      </c>
      <c r="BM26" s="62">
        <f t="shared" si="19"/>
        <v>0</v>
      </c>
      <c r="BN26" s="62">
        <f t="shared" si="64"/>
        <v>0</v>
      </c>
      <c r="BO26" s="62">
        <f>(BN26-BN25)*'Baseline Inputs'!$B$270/100/2 + BN25 *'Baseline Inputs'!$B$270/100</f>
        <v>0</v>
      </c>
      <c r="BP26" s="62">
        <f t="shared" si="44"/>
        <v>0</v>
      </c>
      <c r="BQ26" s="62">
        <f t="shared" si="20"/>
        <v>0</v>
      </c>
      <c r="BR26" s="62">
        <f t="shared" si="65"/>
        <v>0</v>
      </c>
      <c r="BS26" s="62">
        <f>(BR26-BR25)*'Baseline Inputs'!$B$271/100/2 + BR25 *'Baseline Inputs'!$B$271/100</f>
        <v>0</v>
      </c>
      <c r="BT26" s="62">
        <f t="shared" si="45"/>
        <v>0</v>
      </c>
      <c r="BU26" s="62">
        <f t="shared" si="21"/>
        <v>0</v>
      </c>
      <c r="BV26" s="62">
        <f t="shared" si="66"/>
        <v>0</v>
      </c>
      <c r="BW26" s="62">
        <f>(BV26-BV25)*'Baseline Inputs'!$B$272/100/2 + BV25 *'Baseline Inputs'!$B$272/100</f>
        <v>0</v>
      </c>
      <c r="BX26" s="62">
        <f t="shared" si="46"/>
        <v>0</v>
      </c>
      <c r="BY26" s="62">
        <f t="shared" si="22"/>
        <v>0</v>
      </c>
      <c r="BZ26" s="62">
        <f t="shared" si="67"/>
        <v>0</v>
      </c>
      <c r="CA26" s="62">
        <f>(BZ26-BZ25)*'Baseline Inputs'!$B$273/100/2 + BZ25 *'Baseline Inputs'!$B$273/100</f>
        <v>0</v>
      </c>
      <c r="CB26" s="62">
        <f t="shared" si="47"/>
        <v>0</v>
      </c>
      <c r="CC26" s="62">
        <f t="shared" si="23"/>
        <v>0</v>
      </c>
      <c r="CD26" s="62">
        <f t="shared" si="0"/>
        <v>51331.39</v>
      </c>
      <c r="CE26" s="62">
        <f t="shared" si="1"/>
        <v>1538.7763070000001</v>
      </c>
      <c r="CF26" s="62">
        <f t="shared" si="2"/>
        <v>16157.151223499997</v>
      </c>
      <c r="CG26" s="62">
        <f t="shared" si="3"/>
        <v>35174.238776500002</v>
      </c>
      <c r="CH26" s="62">
        <f>'CCA &amp; Cap Tax'!BL26</f>
        <v>0</v>
      </c>
      <c r="CI26" s="62">
        <f t="shared" si="24"/>
        <v>35174.238776500002</v>
      </c>
      <c r="CJ26" s="40">
        <f t="shared" si="68"/>
        <v>0.56000000000000005</v>
      </c>
      <c r="CK26" s="40">
        <f t="shared" si="68"/>
        <v>0.04</v>
      </c>
      <c r="CL26" s="62">
        <f t="shared" si="25"/>
        <v>21104.543265900003</v>
      </c>
      <c r="CM26" s="40">
        <f t="shared" si="69"/>
        <v>2.8500000000000001E-2</v>
      </c>
      <c r="CN26" s="62">
        <f t="shared" si="26"/>
        <v>601.47948307815011</v>
      </c>
    </row>
    <row r="27" spans="1:92" x14ac:dyDescent="0.2">
      <c r="A27" s="4">
        <f t="shared" si="27"/>
        <v>2033</v>
      </c>
      <c r="B27" s="62">
        <f t="shared" si="48"/>
        <v>0</v>
      </c>
      <c r="C27" s="62">
        <f>(B27-B26)*'Baseline Inputs'!$B$252/100/2 + B26 *'Baseline Inputs'!$B$252/100</f>
        <v>0</v>
      </c>
      <c r="D27" s="62">
        <f t="shared" si="28"/>
        <v>0</v>
      </c>
      <c r="E27" s="62">
        <f t="shared" si="4"/>
        <v>0</v>
      </c>
      <c r="F27" s="62">
        <f t="shared" si="49"/>
        <v>0</v>
      </c>
      <c r="G27" s="62">
        <f>(F27-F26)*'Baseline Inputs'!$B$253/100/2 + F26 *'Baseline Inputs'!$B$253/100</f>
        <v>0</v>
      </c>
      <c r="H27" s="62">
        <f t="shared" si="29"/>
        <v>0</v>
      </c>
      <c r="I27" s="62">
        <f t="shared" si="5"/>
        <v>0</v>
      </c>
      <c r="J27" s="62">
        <f t="shared" si="50"/>
        <v>0</v>
      </c>
      <c r="K27" s="62">
        <f>(J27-J26)*'Baseline Inputs'!$B$254/100/2 + J26 *'Baseline Inputs'!$B$254/100</f>
        <v>0</v>
      </c>
      <c r="L27" s="62">
        <f t="shared" si="30"/>
        <v>0</v>
      </c>
      <c r="M27" s="62">
        <f t="shared" si="6"/>
        <v>0</v>
      </c>
      <c r="N27" s="62">
        <f t="shared" si="51"/>
        <v>0</v>
      </c>
      <c r="O27" s="62">
        <f>(N27-N26)*'Baseline Inputs'!$B$255/100/2 + N26 *'Baseline Inputs'!$B$255/100</f>
        <v>0</v>
      </c>
      <c r="P27" s="62">
        <f t="shared" si="31"/>
        <v>0</v>
      </c>
      <c r="Q27" s="62">
        <f t="shared" si="7"/>
        <v>0</v>
      </c>
      <c r="R27" s="62">
        <f t="shared" si="52"/>
        <v>12218.77</v>
      </c>
      <c r="S27" s="62">
        <f>(R27-R26)*'Baseline Inputs'!$B$256/100/2 + R26 *'Baseline Inputs'!$B$256/100</f>
        <v>406.88504100000006</v>
      </c>
      <c r="T27" s="62">
        <f t="shared" si="32"/>
        <v>4679.1779715000011</v>
      </c>
      <c r="U27" s="62">
        <f t="shared" si="8"/>
        <v>7539.5920284999993</v>
      </c>
      <c r="V27" s="62">
        <f t="shared" si="53"/>
        <v>9478.81</v>
      </c>
      <c r="W27" s="62">
        <f>(V27-V26)*'Baseline Inputs'!$B$257/100/2 + V26 *'Baseline Inputs'!$B$257/100</f>
        <v>284.36430000000001</v>
      </c>
      <c r="X27" s="62">
        <f t="shared" si="33"/>
        <v>3270.1894500000008</v>
      </c>
      <c r="Y27" s="62">
        <f t="shared" si="9"/>
        <v>6208.6205499999987</v>
      </c>
      <c r="Z27" s="62">
        <f t="shared" si="54"/>
        <v>29633.81</v>
      </c>
      <c r="AA27" s="62">
        <f>(Z27-Z26)*'Baseline Inputs'!$B$258/100/2 + Z26 *'Baseline Inputs'!$B$258/100</f>
        <v>847.5269659999999</v>
      </c>
      <c r="AB27" s="62">
        <f t="shared" si="34"/>
        <v>9746.5601089999964</v>
      </c>
      <c r="AC27" s="62">
        <f t="shared" si="10"/>
        <v>19887.249891000007</v>
      </c>
      <c r="AD27" s="62">
        <f t="shared" si="55"/>
        <v>0</v>
      </c>
      <c r="AE27" s="62">
        <f>(AD27-AD26)*'Baseline Inputs'!$B$259/100/2 + AD26 *'Baseline Inputs'!$B$259/100</f>
        <v>0</v>
      </c>
      <c r="AF27" s="62">
        <f t="shared" si="35"/>
        <v>0</v>
      </c>
      <c r="AG27" s="62">
        <f t="shared" si="11"/>
        <v>0</v>
      </c>
      <c r="AH27" s="62">
        <f t="shared" si="56"/>
        <v>0</v>
      </c>
      <c r="AI27" s="62">
        <f>(AH27-AH26)*'Baseline Inputs'!$B$260/100/2 + AH26 *'Baseline Inputs'!$B$260/100</f>
        <v>0</v>
      </c>
      <c r="AJ27" s="62">
        <f t="shared" si="36"/>
        <v>0</v>
      </c>
      <c r="AK27" s="62">
        <f t="shared" si="12"/>
        <v>0</v>
      </c>
      <c r="AL27" s="62">
        <f t="shared" si="57"/>
        <v>0</v>
      </c>
      <c r="AM27" s="62">
        <f>(AL27-AL26)*'Baseline Inputs'!$B$261/100/2 + AL26 *'Baseline Inputs'!$B$261/100</f>
        <v>0</v>
      </c>
      <c r="AN27" s="62">
        <f t="shared" si="37"/>
        <v>0</v>
      </c>
      <c r="AO27" s="62">
        <f t="shared" si="13"/>
        <v>0</v>
      </c>
      <c r="AP27" s="62">
        <f t="shared" si="58"/>
        <v>0</v>
      </c>
      <c r="AQ27" s="62">
        <f>(AP27-AP26)*'Baseline Inputs'!$B$264/100/2 + AP26 *'Baseline Inputs'!$B$264/100</f>
        <v>0</v>
      </c>
      <c r="AR27" s="62">
        <f t="shared" si="38"/>
        <v>0</v>
      </c>
      <c r="AS27" s="62">
        <f t="shared" si="14"/>
        <v>0</v>
      </c>
      <c r="AT27" s="62">
        <f t="shared" si="59"/>
        <v>0</v>
      </c>
      <c r="AU27" s="62">
        <f>(AT27-AT26)*'Baseline Inputs'!$B$265/100/2 + AT26 *'Baseline Inputs'!$B$265/100</f>
        <v>0</v>
      </c>
      <c r="AV27" s="62">
        <f t="shared" si="39"/>
        <v>0</v>
      </c>
      <c r="AW27" s="62">
        <f t="shared" si="15"/>
        <v>0</v>
      </c>
      <c r="AX27" s="62">
        <f t="shared" si="60"/>
        <v>0</v>
      </c>
      <c r="AY27" s="62">
        <f>(AX27-AX26)*'Baseline Inputs'!$B$266/100/2 + AX26 *'Baseline Inputs'!$B$266/100</f>
        <v>0</v>
      </c>
      <c r="AZ27" s="62">
        <f t="shared" si="40"/>
        <v>0</v>
      </c>
      <c r="BA27" s="62">
        <f t="shared" si="16"/>
        <v>0</v>
      </c>
      <c r="BB27" s="62">
        <f t="shared" si="61"/>
        <v>0</v>
      </c>
      <c r="BC27" s="62">
        <f>(BB27-BB26)*'Baseline Inputs'!$B$267/100/2 + BB26 *'Baseline Inputs'!$B$267/100</f>
        <v>0</v>
      </c>
      <c r="BD27" s="62">
        <f t="shared" si="41"/>
        <v>0</v>
      </c>
      <c r="BE27" s="62">
        <f t="shared" si="17"/>
        <v>0</v>
      </c>
      <c r="BF27" s="62">
        <f t="shared" si="62"/>
        <v>0</v>
      </c>
      <c r="BG27" s="62">
        <f>(BF27-BF26)*'Baseline Inputs'!$B$268/100/2 + BF26 *'Baseline Inputs'!$B$268/100</f>
        <v>0</v>
      </c>
      <c r="BH27" s="62">
        <f t="shared" si="42"/>
        <v>0</v>
      </c>
      <c r="BI27" s="62">
        <f t="shared" si="18"/>
        <v>0</v>
      </c>
      <c r="BJ27" s="62">
        <f t="shared" si="63"/>
        <v>0</v>
      </c>
      <c r="BK27" s="62">
        <f>(BJ27-BJ26)*'Baseline Inputs'!$B$269/100/2 + BJ26 *'Baseline Inputs'!$B$269/100</f>
        <v>0</v>
      </c>
      <c r="BL27" s="62">
        <f t="shared" si="43"/>
        <v>0</v>
      </c>
      <c r="BM27" s="62">
        <f t="shared" si="19"/>
        <v>0</v>
      </c>
      <c r="BN27" s="62">
        <f t="shared" si="64"/>
        <v>0</v>
      </c>
      <c r="BO27" s="62">
        <f>(BN27-BN26)*'Baseline Inputs'!$B$270/100/2 + BN26 *'Baseline Inputs'!$B$270/100</f>
        <v>0</v>
      </c>
      <c r="BP27" s="62">
        <f t="shared" si="44"/>
        <v>0</v>
      </c>
      <c r="BQ27" s="62">
        <f t="shared" si="20"/>
        <v>0</v>
      </c>
      <c r="BR27" s="62">
        <f t="shared" si="65"/>
        <v>0</v>
      </c>
      <c r="BS27" s="62">
        <f>(BR27-BR26)*'Baseline Inputs'!$B$271/100/2 + BR26 *'Baseline Inputs'!$B$271/100</f>
        <v>0</v>
      </c>
      <c r="BT27" s="62">
        <f t="shared" si="45"/>
        <v>0</v>
      </c>
      <c r="BU27" s="62">
        <f t="shared" si="21"/>
        <v>0</v>
      </c>
      <c r="BV27" s="62">
        <f t="shared" si="66"/>
        <v>0</v>
      </c>
      <c r="BW27" s="62">
        <f>(BV27-BV26)*'Baseline Inputs'!$B$272/100/2 + BV26 *'Baseline Inputs'!$B$272/100</f>
        <v>0</v>
      </c>
      <c r="BX27" s="62">
        <f t="shared" si="46"/>
        <v>0</v>
      </c>
      <c r="BY27" s="62">
        <f t="shared" si="22"/>
        <v>0</v>
      </c>
      <c r="BZ27" s="62">
        <f t="shared" si="67"/>
        <v>0</v>
      </c>
      <c r="CA27" s="62">
        <f>(BZ27-BZ26)*'Baseline Inputs'!$B$273/100/2 + BZ26 *'Baseline Inputs'!$B$273/100</f>
        <v>0</v>
      </c>
      <c r="CB27" s="62">
        <f t="shared" si="47"/>
        <v>0</v>
      </c>
      <c r="CC27" s="62">
        <f t="shared" si="23"/>
        <v>0</v>
      </c>
      <c r="CD27" s="62">
        <f t="shared" si="0"/>
        <v>51331.39</v>
      </c>
      <c r="CE27" s="62">
        <f t="shared" si="1"/>
        <v>1538.7763070000001</v>
      </c>
      <c r="CF27" s="62">
        <f t="shared" si="2"/>
        <v>17695.927530499997</v>
      </c>
      <c r="CG27" s="62">
        <f t="shared" si="3"/>
        <v>33635.462469500009</v>
      </c>
      <c r="CH27" s="62">
        <f>'CCA &amp; Cap Tax'!BL27</f>
        <v>0</v>
      </c>
      <c r="CI27" s="62">
        <f t="shared" si="24"/>
        <v>33635.462469500009</v>
      </c>
      <c r="CJ27" s="40">
        <f t="shared" si="68"/>
        <v>0.56000000000000005</v>
      </c>
      <c r="CK27" s="40">
        <f t="shared" si="68"/>
        <v>0.04</v>
      </c>
      <c r="CL27" s="62">
        <f t="shared" si="25"/>
        <v>20181.27748170001</v>
      </c>
      <c r="CM27" s="40">
        <f t="shared" si="69"/>
        <v>2.8500000000000001E-2</v>
      </c>
      <c r="CN27" s="62">
        <f t="shared" si="26"/>
        <v>575.16640822845034</v>
      </c>
    </row>
    <row r="28" spans="1:92" x14ac:dyDescent="0.2">
      <c r="A28" s="4">
        <f t="shared" si="27"/>
        <v>2034</v>
      </c>
      <c r="B28" s="62">
        <f t="shared" si="48"/>
        <v>0</v>
      </c>
      <c r="C28" s="62">
        <f>(B28-B27)*'Baseline Inputs'!$B$252/100/2 + B27 *'Baseline Inputs'!$B$252/100</f>
        <v>0</v>
      </c>
      <c r="D28" s="62">
        <f t="shared" si="28"/>
        <v>0</v>
      </c>
      <c r="E28" s="62">
        <f t="shared" si="4"/>
        <v>0</v>
      </c>
      <c r="F28" s="62">
        <f t="shared" si="49"/>
        <v>0</v>
      </c>
      <c r="G28" s="62">
        <f>(F28-F27)*'Baseline Inputs'!$B$253/100/2 + F27 *'Baseline Inputs'!$B$253/100</f>
        <v>0</v>
      </c>
      <c r="H28" s="62">
        <f t="shared" si="29"/>
        <v>0</v>
      </c>
      <c r="I28" s="62">
        <f t="shared" si="5"/>
        <v>0</v>
      </c>
      <c r="J28" s="62">
        <f t="shared" si="50"/>
        <v>0</v>
      </c>
      <c r="K28" s="62">
        <f>(J28-J27)*'Baseline Inputs'!$B$254/100/2 + J27 *'Baseline Inputs'!$B$254/100</f>
        <v>0</v>
      </c>
      <c r="L28" s="62">
        <f t="shared" si="30"/>
        <v>0</v>
      </c>
      <c r="M28" s="62">
        <f t="shared" si="6"/>
        <v>0</v>
      </c>
      <c r="N28" s="62">
        <f t="shared" si="51"/>
        <v>0</v>
      </c>
      <c r="O28" s="62">
        <f>(N28-N27)*'Baseline Inputs'!$B$255/100/2 + N27 *'Baseline Inputs'!$B$255/100</f>
        <v>0</v>
      </c>
      <c r="P28" s="62">
        <f t="shared" si="31"/>
        <v>0</v>
      </c>
      <c r="Q28" s="62">
        <f t="shared" si="7"/>
        <v>0</v>
      </c>
      <c r="R28" s="62">
        <f t="shared" si="52"/>
        <v>12218.77</v>
      </c>
      <c r="S28" s="62">
        <f>(R28-R27)*'Baseline Inputs'!$B$256/100/2 + R27 *'Baseline Inputs'!$B$256/100</f>
        <v>406.88504100000006</v>
      </c>
      <c r="T28" s="62">
        <f t="shared" si="32"/>
        <v>5086.0630125000016</v>
      </c>
      <c r="U28" s="62">
        <f t="shared" si="8"/>
        <v>7132.7069874999988</v>
      </c>
      <c r="V28" s="62">
        <f t="shared" si="53"/>
        <v>9478.81</v>
      </c>
      <c r="W28" s="62">
        <f>(V28-V27)*'Baseline Inputs'!$B$257/100/2 + V27 *'Baseline Inputs'!$B$257/100</f>
        <v>284.36430000000001</v>
      </c>
      <c r="X28" s="62">
        <f t="shared" si="33"/>
        <v>3554.5537500000009</v>
      </c>
      <c r="Y28" s="62">
        <f t="shared" si="9"/>
        <v>5924.2562499999985</v>
      </c>
      <c r="Z28" s="62">
        <f t="shared" si="54"/>
        <v>29633.81</v>
      </c>
      <c r="AA28" s="62">
        <f>(Z28-Z27)*'Baseline Inputs'!$B$258/100/2 + Z27 *'Baseline Inputs'!$B$258/100</f>
        <v>847.5269659999999</v>
      </c>
      <c r="AB28" s="62">
        <f t="shared" si="34"/>
        <v>10594.087074999996</v>
      </c>
      <c r="AC28" s="62">
        <f t="shared" si="10"/>
        <v>19039.722925000005</v>
      </c>
      <c r="AD28" s="62">
        <f t="shared" si="55"/>
        <v>0</v>
      </c>
      <c r="AE28" s="62">
        <f>(AD28-AD27)*'Baseline Inputs'!$B$259/100/2 + AD27 *'Baseline Inputs'!$B$259/100</f>
        <v>0</v>
      </c>
      <c r="AF28" s="62">
        <f t="shared" si="35"/>
        <v>0</v>
      </c>
      <c r="AG28" s="62">
        <f t="shared" si="11"/>
        <v>0</v>
      </c>
      <c r="AH28" s="62">
        <f t="shared" si="56"/>
        <v>0</v>
      </c>
      <c r="AI28" s="62">
        <f>(AH28-AH27)*'Baseline Inputs'!$B$260/100/2 + AH27 *'Baseline Inputs'!$B$260/100</f>
        <v>0</v>
      </c>
      <c r="AJ28" s="62">
        <f t="shared" si="36"/>
        <v>0</v>
      </c>
      <c r="AK28" s="62">
        <f t="shared" si="12"/>
        <v>0</v>
      </c>
      <c r="AL28" s="62">
        <f t="shared" si="57"/>
        <v>0</v>
      </c>
      <c r="AM28" s="62">
        <f>(AL28-AL27)*'Baseline Inputs'!$B$261/100/2 + AL27 *'Baseline Inputs'!$B$261/100</f>
        <v>0</v>
      </c>
      <c r="AN28" s="62">
        <f t="shared" si="37"/>
        <v>0</v>
      </c>
      <c r="AO28" s="62">
        <f t="shared" si="13"/>
        <v>0</v>
      </c>
      <c r="AP28" s="62">
        <f t="shared" si="58"/>
        <v>0</v>
      </c>
      <c r="AQ28" s="62">
        <f>(AP28-AP27)*'Baseline Inputs'!$B$264/100/2 + AP27 *'Baseline Inputs'!$B$264/100</f>
        <v>0</v>
      </c>
      <c r="AR28" s="62">
        <f t="shared" si="38"/>
        <v>0</v>
      </c>
      <c r="AS28" s="62">
        <f t="shared" si="14"/>
        <v>0</v>
      </c>
      <c r="AT28" s="62">
        <f t="shared" si="59"/>
        <v>0</v>
      </c>
      <c r="AU28" s="62">
        <f>(AT28-AT27)*'Baseline Inputs'!$B$265/100/2 + AT27 *'Baseline Inputs'!$B$265/100</f>
        <v>0</v>
      </c>
      <c r="AV28" s="62">
        <f t="shared" si="39"/>
        <v>0</v>
      </c>
      <c r="AW28" s="62">
        <f t="shared" si="15"/>
        <v>0</v>
      </c>
      <c r="AX28" s="62">
        <f t="shared" si="60"/>
        <v>0</v>
      </c>
      <c r="AY28" s="62">
        <f>(AX28-AX27)*'Baseline Inputs'!$B$266/100/2 + AX27 *'Baseline Inputs'!$B$266/100</f>
        <v>0</v>
      </c>
      <c r="AZ28" s="62">
        <f t="shared" si="40"/>
        <v>0</v>
      </c>
      <c r="BA28" s="62">
        <f t="shared" si="16"/>
        <v>0</v>
      </c>
      <c r="BB28" s="62">
        <f t="shared" si="61"/>
        <v>0</v>
      </c>
      <c r="BC28" s="62">
        <f>(BB28-BB27)*'Baseline Inputs'!$B$267/100/2 + BB27 *'Baseline Inputs'!$B$267/100</f>
        <v>0</v>
      </c>
      <c r="BD28" s="62">
        <f t="shared" si="41"/>
        <v>0</v>
      </c>
      <c r="BE28" s="62">
        <f t="shared" si="17"/>
        <v>0</v>
      </c>
      <c r="BF28" s="62">
        <f t="shared" si="62"/>
        <v>0</v>
      </c>
      <c r="BG28" s="62">
        <f>(BF28-BF27)*'Baseline Inputs'!$B$268/100/2 + BF27 *'Baseline Inputs'!$B$268/100</f>
        <v>0</v>
      </c>
      <c r="BH28" s="62">
        <f t="shared" si="42"/>
        <v>0</v>
      </c>
      <c r="BI28" s="62">
        <f t="shared" si="18"/>
        <v>0</v>
      </c>
      <c r="BJ28" s="62">
        <f t="shared" si="63"/>
        <v>0</v>
      </c>
      <c r="BK28" s="62">
        <f>(BJ28-BJ27)*'Baseline Inputs'!$B$269/100/2 + BJ27 *'Baseline Inputs'!$B$269/100</f>
        <v>0</v>
      </c>
      <c r="BL28" s="62">
        <f t="shared" si="43"/>
        <v>0</v>
      </c>
      <c r="BM28" s="62">
        <f t="shared" si="19"/>
        <v>0</v>
      </c>
      <c r="BN28" s="62">
        <f t="shared" si="64"/>
        <v>0</v>
      </c>
      <c r="BO28" s="62">
        <f>(BN28-BN27)*'Baseline Inputs'!$B$270/100/2 + BN27 *'Baseline Inputs'!$B$270/100</f>
        <v>0</v>
      </c>
      <c r="BP28" s="62">
        <f t="shared" si="44"/>
        <v>0</v>
      </c>
      <c r="BQ28" s="62">
        <f t="shared" si="20"/>
        <v>0</v>
      </c>
      <c r="BR28" s="62">
        <f t="shared" si="65"/>
        <v>0</v>
      </c>
      <c r="BS28" s="62">
        <f>(BR28-BR27)*'Baseline Inputs'!$B$271/100/2 + BR27 *'Baseline Inputs'!$B$271/100</f>
        <v>0</v>
      </c>
      <c r="BT28" s="62">
        <f t="shared" si="45"/>
        <v>0</v>
      </c>
      <c r="BU28" s="62">
        <f t="shared" si="21"/>
        <v>0</v>
      </c>
      <c r="BV28" s="62">
        <f t="shared" si="66"/>
        <v>0</v>
      </c>
      <c r="BW28" s="62">
        <f>(BV28-BV27)*'Baseline Inputs'!$B$272/100/2 + BV27 *'Baseline Inputs'!$B$272/100</f>
        <v>0</v>
      </c>
      <c r="BX28" s="62">
        <f t="shared" si="46"/>
        <v>0</v>
      </c>
      <c r="BY28" s="62">
        <f t="shared" si="22"/>
        <v>0</v>
      </c>
      <c r="BZ28" s="62">
        <f t="shared" si="67"/>
        <v>0</v>
      </c>
      <c r="CA28" s="62">
        <f>(BZ28-BZ27)*'Baseline Inputs'!$B$273/100/2 + BZ27 *'Baseline Inputs'!$B$273/100</f>
        <v>0</v>
      </c>
      <c r="CB28" s="62">
        <f t="shared" si="47"/>
        <v>0</v>
      </c>
      <c r="CC28" s="62">
        <f t="shared" si="23"/>
        <v>0</v>
      </c>
      <c r="CD28" s="62">
        <f t="shared" si="0"/>
        <v>51331.39</v>
      </c>
      <c r="CE28" s="62">
        <f t="shared" si="1"/>
        <v>1538.7763070000001</v>
      </c>
      <c r="CF28" s="62">
        <f t="shared" si="2"/>
        <v>19234.703837499997</v>
      </c>
      <c r="CG28" s="62">
        <f t="shared" si="3"/>
        <v>32096.686162500002</v>
      </c>
      <c r="CH28" s="62">
        <f>'CCA &amp; Cap Tax'!BL28</f>
        <v>0</v>
      </c>
      <c r="CI28" s="62">
        <f t="shared" si="24"/>
        <v>32096.686162500002</v>
      </c>
      <c r="CJ28" s="40">
        <f t="shared" si="68"/>
        <v>0.56000000000000005</v>
      </c>
      <c r="CK28" s="40">
        <f t="shared" si="68"/>
        <v>0.04</v>
      </c>
      <c r="CL28" s="62">
        <f t="shared" si="25"/>
        <v>19258.011697500006</v>
      </c>
      <c r="CM28" s="40">
        <f t="shared" si="69"/>
        <v>2.8500000000000001E-2</v>
      </c>
      <c r="CN28" s="62">
        <f t="shared" si="26"/>
        <v>548.85333337875022</v>
      </c>
    </row>
    <row r="29" spans="1:92" x14ac:dyDescent="0.2">
      <c r="A29" s="4">
        <f t="shared" si="27"/>
        <v>2035</v>
      </c>
      <c r="B29" s="62">
        <f t="shared" si="48"/>
        <v>0</v>
      </c>
      <c r="C29" s="62">
        <f>(B29-B28)*'Baseline Inputs'!$B$252/100/2 + B28 *'Baseline Inputs'!$B$252/100</f>
        <v>0</v>
      </c>
      <c r="D29" s="62">
        <f t="shared" si="28"/>
        <v>0</v>
      </c>
      <c r="E29" s="62">
        <f t="shared" si="4"/>
        <v>0</v>
      </c>
      <c r="F29" s="62">
        <f t="shared" si="49"/>
        <v>0</v>
      </c>
      <c r="G29" s="62">
        <f>(F29-F28)*'Baseline Inputs'!$B$253/100/2 + F28 *'Baseline Inputs'!$B$253/100</f>
        <v>0</v>
      </c>
      <c r="H29" s="62">
        <f t="shared" si="29"/>
        <v>0</v>
      </c>
      <c r="I29" s="62">
        <f t="shared" si="5"/>
        <v>0</v>
      </c>
      <c r="J29" s="62">
        <f t="shared" si="50"/>
        <v>0</v>
      </c>
      <c r="K29" s="62">
        <f>(J29-J28)*'Baseline Inputs'!$B$254/100/2 + J28 *'Baseline Inputs'!$B$254/100</f>
        <v>0</v>
      </c>
      <c r="L29" s="62">
        <f t="shared" si="30"/>
        <v>0</v>
      </c>
      <c r="M29" s="62">
        <f t="shared" si="6"/>
        <v>0</v>
      </c>
      <c r="N29" s="62">
        <f t="shared" si="51"/>
        <v>0</v>
      </c>
      <c r="O29" s="62">
        <f>(N29-N28)*'Baseline Inputs'!$B$255/100/2 + N28 *'Baseline Inputs'!$B$255/100</f>
        <v>0</v>
      </c>
      <c r="P29" s="62">
        <f t="shared" si="31"/>
        <v>0</v>
      </c>
      <c r="Q29" s="62">
        <f t="shared" si="7"/>
        <v>0</v>
      </c>
      <c r="R29" s="62">
        <f t="shared" si="52"/>
        <v>12218.77</v>
      </c>
      <c r="S29" s="62">
        <f>(R29-R28)*'Baseline Inputs'!$B$256/100/2 + R28 *'Baseline Inputs'!$B$256/100</f>
        <v>406.88504100000006</v>
      </c>
      <c r="T29" s="62">
        <f t="shared" si="32"/>
        <v>5492.9480535000021</v>
      </c>
      <c r="U29" s="62">
        <f t="shared" si="8"/>
        <v>6725.8219464999984</v>
      </c>
      <c r="V29" s="62">
        <f t="shared" si="53"/>
        <v>9478.81</v>
      </c>
      <c r="W29" s="62">
        <f>(V29-V28)*'Baseline Inputs'!$B$257/100/2 + V28 *'Baseline Inputs'!$B$257/100</f>
        <v>284.36430000000001</v>
      </c>
      <c r="X29" s="62">
        <f t="shared" si="33"/>
        <v>3838.9180500000011</v>
      </c>
      <c r="Y29" s="62">
        <f t="shared" si="9"/>
        <v>5639.8919499999984</v>
      </c>
      <c r="Z29" s="62">
        <f t="shared" si="54"/>
        <v>29633.81</v>
      </c>
      <c r="AA29" s="62">
        <f>(Z29-Z28)*'Baseline Inputs'!$B$258/100/2 + Z28 *'Baseline Inputs'!$B$258/100</f>
        <v>847.5269659999999</v>
      </c>
      <c r="AB29" s="62">
        <f t="shared" si="34"/>
        <v>11441.614040999995</v>
      </c>
      <c r="AC29" s="62">
        <f t="shared" si="10"/>
        <v>18192.195959000004</v>
      </c>
      <c r="AD29" s="62">
        <f t="shared" si="55"/>
        <v>0</v>
      </c>
      <c r="AE29" s="62">
        <f>(AD29-AD28)*'Baseline Inputs'!$B$259/100/2 + AD28 *'Baseline Inputs'!$B$259/100</f>
        <v>0</v>
      </c>
      <c r="AF29" s="62">
        <f t="shared" si="35"/>
        <v>0</v>
      </c>
      <c r="AG29" s="62">
        <f t="shared" si="11"/>
        <v>0</v>
      </c>
      <c r="AH29" s="62">
        <f t="shared" si="56"/>
        <v>0</v>
      </c>
      <c r="AI29" s="62">
        <f>(AH29-AH28)*'Baseline Inputs'!$B$260/100/2 + AH28 *'Baseline Inputs'!$B$260/100</f>
        <v>0</v>
      </c>
      <c r="AJ29" s="62">
        <f t="shared" si="36"/>
        <v>0</v>
      </c>
      <c r="AK29" s="62">
        <f t="shared" si="12"/>
        <v>0</v>
      </c>
      <c r="AL29" s="62">
        <f t="shared" si="57"/>
        <v>0</v>
      </c>
      <c r="AM29" s="62">
        <f>(AL29-AL28)*'Baseline Inputs'!$B$261/100/2 + AL28 *'Baseline Inputs'!$B$261/100</f>
        <v>0</v>
      </c>
      <c r="AN29" s="62">
        <f t="shared" si="37"/>
        <v>0</v>
      </c>
      <c r="AO29" s="62">
        <f t="shared" si="13"/>
        <v>0</v>
      </c>
      <c r="AP29" s="62">
        <f t="shared" si="58"/>
        <v>0</v>
      </c>
      <c r="AQ29" s="62">
        <f>(AP29-AP28)*'Baseline Inputs'!$B$264/100/2 + AP28 *'Baseline Inputs'!$B$264/100</f>
        <v>0</v>
      </c>
      <c r="AR29" s="62">
        <f t="shared" si="38"/>
        <v>0</v>
      </c>
      <c r="AS29" s="62">
        <f t="shared" si="14"/>
        <v>0</v>
      </c>
      <c r="AT29" s="62">
        <f t="shared" si="59"/>
        <v>0</v>
      </c>
      <c r="AU29" s="62">
        <f>(AT29-AT28)*'Baseline Inputs'!$B$265/100/2 + AT28 *'Baseline Inputs'!$B$265/100</f>
        <v>0</v>
      </c>
      <c r="AV29" s="62">
        <f t="shared" si="39"/>
        <v>0</v>
      </c>
      <c r="AW29" s="62">
        <f t="shared" si="15"/>
        <v>0</v>
      </c>
      <c r="AX29" s="62">
        <f t="shared" si="60"/>
        <v>0</v>
      </c>
      <c r="AY29" s="62">
        <f>(AX29-AX28)*'Baseline Inputs'!$B$266/100/2 + AX28 *'Baseline Inputs'!$B$266/100</f>
        <v>0</v>
      </c>
      <c r="AZ29" s="62">
        <f t="shared" si="40"/>
        <v>0</v>
      </c>
      <c r="BA29" s="62">
        <f t="shared" si="16"/>
        <v>0</v>
      </c>
      <c r="BB29" s="62">
        <f t="shared" si="61"/>
        <v>0</v>
      </c>
      <c r="BC29" s="62">
        <f>(BB29-BB28)*'Baseline Inputs'!$B$267/100/2 + BB28 *'Baseline Inputs'!$B$267/100</f>
        <v>0</v>
      </c>
      <c r="BD29" s="62">
        <f t="shared" si="41"/>
        <v>0</v>
      </c>
      <c r="BE29" s="62">
        <f t="shared" si="17"/>
        <v>0</v>
      </c>
      <c r="BF29" s="62">
        <f t="shared" si="62"/>
        <v>0</v>
      </c>
      <c r="BG29" s="62">
        <f>(BF29-BF28)*'Baseline Inputs'!$B$268/100/2 + BF28 *'Baseline Inputs'!$B$268/100</f>
        <v>0</v>
      </c>
      <c r="BH29" s="62">
        <f t="shared" si="42"/>
        <v>0</v>
      </c>
      <c r="BI29" s="62">
        <f t="shared" si="18"/>
        <v>0</v>
      </c>
      <c r="BJ29" s="62">
        <f t="shared" si="63"/>
        <v>0</v>
      </c>
      <c r="BK29" s="62">
        <f>(BJ29-BJ28)*'Baseline Inputs'!$B$269/100/2 + BJ28 *'Baseline Inputs'!$B$269/100</f>
        <v>0</v>
      </c>
      <c r="BL29" s="62">
        <f t="shared" si="43"/>
        <v>0</v>
      </c>
      <c r="BM29" s="62">
        <f t="shared" si="19"/>
        <v>0</v>
      </c>
      <c r="BN29" s="62">
        <f t="shared" si="64"/>
        <v>0</v>
      </c>
      <c r="BO29" s="62">
        <f>(BN29-BN28)*'Baseline Inputs'!$B$270/100/2 + BN28 *'Baseline Inputs'!$B$270/100</f>
        <v>0</v>
      </c>
      <c r="BP29" s="62">
        <f t="shared" si="44"/>
        <v>0</v>
      </c>
      <c r="BQ29" s="62">
        <f t="shared" si="20"/>
        <v>0</v>
      </c>
      <c r="BR29" s="62">
        <f t="shared" si="65"/>
        <v>0</v>
      </c>
      <c r="BS29" s="62">
        <f>(BR29-BR28)*'Baseline Inputs'!$B$271/100/2 + BR28 *'Baseline Inputs'!$B$271/100</f>
        <v>0</v>
      </c>
      <c r="BT29" s="62">
        <f t="shared" si="45"/>
        <v>0</v>
      </c>
      <c r="BU29" s="62">
        <f t="shared" si="21"/>
        <v>0</v>
      </c>
      <c r="BV29" s="62">
        <f t="shared" si="66"/>
        <v>0</v>
      </c>
      <c r="BW29" s="62">
        <f>(BV29-BV28)*'Baseline Inputs'!$B$272/100/2 + BV28 *'Baseline Inputs'!$B$272/100</f>
        <v>0</v>
      </c>
      <c r="BX29" s="62">
        <f t="shared" si="46"/>
        <v>0</v>
      </c>
      <c r="BY29" s="62">
        <f t="shared" si="22"/>
        <v>0</v>
      </c>
      <c r="BZ29" s="62">
        <f t="shared" si="67"/>
        <v>0</v>
      </c>
      <c r="CA29" s="62">
        <f>(BZ29-BZ28)*'Baseline Inputs'!$B$273/100/2 + BZ28 *'Baseline Inputs'!$B$273/100</f>
        <v>0</v>
      </c>
      <c r="CB29" s="62">
        <f t="shared" si="47"/>
        <v>0</v>
      </c>
      <c r="CC29" s="62">
        <f t="shared" si="23"/>
        <v>0</v>
      </c>
      <c r="CD29" s="62">
        <f t="shared" si="0"/>
        <v>51331.39</v>
      </c>
      <c r="CE29" s="62">
        <f t="shared" si="1"/>
        <v>1538.7763070000001</v>
      </c>
      <c r="CF29" s="62">
        <f t="shared" si="2"/>
        <v>20773.480144499998</v>
      </c>
      <c r="CG29" s="62">
        <f t="shared" si="3"/>
        <v>30557.909855500002</v>
      </c>
      <c r="CH29" s="62">
        <f>'CCA &amp; Cap Tax'!BL29</f>
        <v>0</v>
      </c>
      <c r="CI29" s="62">
        <f t="shared" si="24"/>
        <v>30557.909855500002</v>
      </c>
      <c r="CJ29" s="40">
        <f t="shared" si="68"/>
        <v>0.56000000000000005</v>
      </c>
      <c r="CK29" s="40">
        <f t="shared" si="68"/>
        <v>0.04</v>
      </c>
      <c r="CL29" s="62">
        <f t="shared" si="25"/>
        <v>18334.745913300005</v>
      </c>
      <c r="CM29" s="40">
        <f t="shared" si="69"/>
        <v>2.8500000000000001E-2</v>
      </c>
      <c r="CN29" s="62">
        <f t="shared" si="26"/>
        <v>522.54025852905011</v>
      </c>
    </row>
    <row r="30" spans="1:92" x14ac:dyDescent="0.2">
      <c r="A30" s="4">
        <f t="shared" si="27"/>
        <v>2036</v>
      </c>
      <c r="B30" s="62">
        <f t="shared" si="48"/>
        <v>0</v>
      </c>
      <c r="C30" s="62">
        <f>(B30-B29)*'Baseline Inputs'!$B$252/100/2 + B29 *'Baseline Inputs'!$B$252/100</f>
        <v>0</v>
      </c>
      <c r="D30" s="62">
        <f t="shared" si="28"/>
        <v>0</v>
      </c>
      <c r="E30" s="62">
        <f t="shared" si="4"/>
        <v>0</v>
      </c>
      <c r="F30" s="62">
        <f t="shared" si="49"/>
        <v>0</v>
      </c>
      <c r="G30" s="62">
        <f>(F30-F29)*'Baseline Inputs'!$B$253/100/2 + F29 *'Baseline Inputs'!$B$253/100</f>
        <v>0</v>
      </c>
      <c r="H30" s="62">
        <f t="shared" si="29"/>
        <v>0</v>
      </c>
      <c r="I30" s="62">
        <f t="shared" si="5"/>
        <v>0</v>
      </c>
      <c r="J30" s="62">
        <f t="shared" si="50"/>
        <v>0</v>
      </c>
      <c r="K30" s="62">
        <f>(J30-J29)*'Baseline Inputs'!$B$254/100/2 + J29 *'Baseline Inputs'!$B$254/100</f>
        <v>0</v>
      </c>
      <c r="L30" s="62">
        <f t="shared" si="30"/>
        <v>0</v>
      </c>
      <c r="M30" s="62">
        <f t="shared" si="6"/>
        <v>0</v>
      </c>
      <c r="N30" s="62">
        <f t="shared" si="51"/>
        <v>0</v>
      </c>
      <c r="O30" s="62">
        <f>(N30-N29)*'Baseline Inputs'!$B$255/100/2 + N29 *'Baseline Inputs'!$B$255/100</f>
        <v>0</v>
      </c>
      <c r="P30" s="62">
        <f t="shared" si="31"/>
        <v>0</v>
      </c>
      <c r="Q30" s="62">
        <f t="shared" si="7"/>
        <v>0</v>
      </c>
      <c r="R30" s="62">
        <f t="shared" si="52"/>
        <v>12218.77</v>
      </c>
      <c r="S30" s="62">
        <f>(R30-R29)*'Baseline Inputs'!$B$256/100/2 + R29 *'Baseline Inputs'!$B$256/100</f>
        <v>406.88504100000006</v>
      </c>
      <c r="T30" s="62">
        <f t="shared" si="32"/>
        <v>5899.8330945000025</v>
      </c>
      <c r="U30" s="62">
        <f t="shared" si="8"/>
        <v>6318.9369054999979</v>
      </c>
      <c r="V30" s="62">
        <f t="shared" si="53"/>
        <v>9478.81</v>
      </c>
      <c r="W30" s="62">
        <f>(V30-V29)*'Baseline Inputs'!$B$257/100/2 + V29 *'Baseline Inputs'!$B$257/100</f>
        <v>284.36430000000001</v>
      </c>
      <c r="X30" s="62">
        <f t="shared" si="33"/>
        <v>4123.2823500000013</v>
      </c>
      <c r="Y30" s="62">
        <f t="shared" si="9"/>
        <v>5355.5276499999982</v>
      </c>
      <c r="Z30" s="62">
        <f t="shared" si="54"/>
        <v>29633.81</v>
      </c>
      <c r="AA30" s="62">
        <f>(Z30-Z29)*'Baseline Inputs'!$B$258/100/2 + Z29 *'Baseline Inputs'!$B$258/100</f>
        <v>847.5269659999999</v>
      </c>
      <c r="AB30" s="62">
        <f t="shared" si="34"/>
        <v>12289.141006999995</v>
      </c>
      <c r="AC30" s="62">
        <f t="shared" si="10"/>
        <v>17344.668993000007</v>
      </c>
      <c r="AD30" s="62">
        <f t="shared" si="55"/>
        <v>0</v>
      </c>
      <c r="AE30" s="62">
        <f>(AD30-AD29)*'Baseline Inputs'!$B$259/100/2 + AD29 *'Baseline Inputs'!$B$259/100</f>
        <v>0</v>
      </c>
      <c r="AF30" s="62">
        <f t="shared" si="35"/>
        <v>0</v>
      </c>
      <c r="AG30" s="62">
        <f t="shared" si="11"/>
        <v>0</v>
      </c>
      <c r="AH30" s="62">
        <f t="shared" si="56"/>
        <v>0</v>
      </c>
      <c r="AI30" s="62">
        <f>(AH30-AH29)*'Baseline Inputs'!$B$260/100/2 + AH29 *'Baseline Inputs'!$B$260/100</f>
        <v>0</v>
      </c>
      <c r="AJ30" s="62">
        <f t="shared" si="36"/>
        <v>0</v>
      </c>
      <c r="AK30" s="62">
        <f t="shared" si="12"/>
        <v>0</v>
      </c>
      <c r="AL30" s="62">
        <f t="shared" si="57"/>
        <v>0</v>
      </c>
      <c r="AM30" s="62">
        <f>(AL30-AL29)*'Baseline Inputs'!$B$261/100/2 + AL29 *'Baseline Inputs'!$B$261/100</f>
        <v>0</v>
      </c>
      <c r="AN30" s="62">
        <f t="shared" si="37"/>
        <v>0</v>
      </c>
      <c r="AO30" s="62">
        <f t="shared" si="13"/>
        <v>0</v>
      </c>
      <c r="AP30" s="62">
        <f t="shared" si="58"/>
        <v>0</v>
      </c>
      <c r="AQ30" s="62">
        <f>(AP30-AP29)*'Baseline Inputs'!$B$264/100/2 + AP29 *'Baseline Inputs'!$B$264/100</f>
        <v>0</v>
      </c>
      <c r="AR30" s="62">
        <f t="shared" si="38"/>
        <v>0</v>
      </c>
      <c r="AS30" s="62">
        <f t="shared" si="14"/>
        <v>0</v>
      </c>
      <c r="AT30" s="62">
        <f t="shared" si="59"/>
        <v>0</v>
      </c>
      <c r="AU30" s="62">
        <f>(AT30-AT29)*'Baseline Inputs'!$B$265/100/2 + AT29 *'Baseline Inputs'!$B$265/100</f>
        <v>0</v>
      </c>
      <c r="AV30" s="62">
        <f t="shared" si="39"/>
        <v>0</v>
      </c>
      <c r="AW30" s="62">
        <f t="shared" si="15"/>
        <v>0</v>
      </c>
      <c r="AX30" s="62">
        <f t="shared" si="60"/>
        <v>0</v>
      </c>
      <c r="AY30" s="62">
        <f>(AX30-AX29)*'Baseline Inputs'!$B$266/100/2 + AX29 *'Baseline Inputs'!$B$266/100</f>
        <v>0</v>
      </c>
      <c r="AZ30" s="62">
        <f t="shared" si="40"/>
        <v>0</v>
      </c>
      <c r="BA30" s="62">
        <f t="shared" si="16"/>
        <v>0</v>
      </c>
      <c r="BB30" s="62">
        <f t="shared" si="61"/>
        <v>0</v>
      </c>
      <c r="BC30" s="62">
        <f>(BB30-BB29)*'Baseline Inputs'!$B$267/100/2 + BB29 *'Baseline Inputs'!$B$267/100</f>
        <v>0</v>
      </c>
      <c r="BD30" s="62">
        <f t="shared" si="41"/>
        <v>0</v>
      </c>
      <c r="BE30" s="62">
        <f t="shared" si="17"/>
        <v>0</v>
      </c>
      <c r="BF30" s="62">
        <f t="shared" si="62"/>
        <v>0</v>
      </c>
      <c r="BG30" s="62">
        <f>(BF30-BF29)*'Baseline Inputs'!$B$268/100/2 + BF29 *'Baseline Inputs'!$B$268/100</f>
        <v>0</v>
      </c>
      <c r="BH30" s="62">
        <f t="shared" si="42"/>
        <v>0</v>
      </c>
      <c r="BI30" s="62">
        <f t="shared" si="18"/>
        <v>0</v>
      </c>
      <c r="BJ30" s="62">
        <f t="shared" si="63"/>
        <v>0</v>
      </c>
      <c r="BK30" s="62">
        <f>(BJ30-BJ29)*'Baseline Inputs'!$B$269/100/2 + BJ29 *'Baseline Inputs'!$B$269/100</f>
        <v>0</v>
      </c>
      <c r="BL30" s="62">
        <f t="shared" si="43"/>
        <v>0</v>
      </c>
      <c r="BM30" s="62">
        <f t="shared" si="19"/>
        <v>0</v>
      </c>
      <c r="BN30" s="62">
        <f t="shared" si="64"/>
        <v>0</v>
      </c>
      <c r="BO30" s="62">
        <f>(BN30-BN29)*'Baseline Inputs'!$B$270/100/2 + BN29 *'Baseline Inputs'!$B$270/100</f>
        <v>0</v>
      </c>
      <c r="BP30" s="62">
        <f t="shared" si="44"/>
        <v>0</v>
      </c>
      <c r="BQ30" s="62">
        <f t="shared" si="20"/>
        <v>0</v>
      </c>
      <c r="BR30" s="62">
        <f t="shared" si="65"/>
        <v>0</v>
      </c>
      <c r="BS30" s="62">
        <f>(BR30-BR29)*'Baseline Inputs'!$B$271/100/2 + BR29 *'Baseline Inputs'!$B$271/100</f>
        <v>0</v>
      </c>
      <c r="BT30" s="62">
        <f t="shared" si="45"/>
        <v>0</v>
      </c>
      <c r="BU30" s="62">
        <f t="shared" si="21"/>
        <v>0</v>
      </c>
      <c r="BV30" s="62">
        <f t="shared" si="66"/>
        <v>0</v>
      </c>
      <c r="BW30" s="62">
        <f>(BV30-BV29)*'Baseline Inputs'!$B$272/100/2 + BV29 *'Baseline Inputs'!$B$272/100</f>
        <v>0</v>
      </c>
      <c r="BX30" s="62">
        <f t="shared" si="46"/>
        <v>0</v>
      </c>
      <c r="BY30" s="62">
        <f t="shared" si="22"/>
        <v>0</v>
      </c>
      <c r="BZ30" s="62">
        <f t="shared" si="67"/>
        <v>0</v>
      </c>
      <c r="CA30" s="62">
        <f>(BZ30-BZ29)*'Baseline Inputs'!$B$273/100/2 + BZ29 *'Baseline Inputs'!$B$273/100</f>
        <v>0</v>
      </c>
      <c r="CB30" s="62">
        <f t="shared" si="47"/>
        <v>0</v>
      </c>
      <c r="CC30" s="62">
        <f t="shared" si="23"/>
        <v>0</v>
      </c>
      <c r="CD30" s="62">
        <f t="shared" si="0"/>
        <v>51331.39</v>
      </c>
      <c r="CE30" s="62">
        <f t="shared" si="1"/>
        <v>1538.7763070000001</v>
      </c>
      <c r="CF30" s="62">
        <f t="shared" si="2"/>
        <v>22312.256451499998</v>
      </c>
      <c r="CG30" s="62">
        <f t="shared" si="3"/>
        <v>29019.133548500002</v>
      </c>
      <c r="CH30" s="62">
        <f>'CCA &amp; Cap Tax'!BL30</f>
        <v>0</v>
      </c>
      <c r="CI30" s="62">
        <f t="shared" si="24"/>
        <v>29019.133548500002</v>
      </c>
      <c r="CJ30" s="40">
        <f t="shared" si="68"/>
        <v>0.56000000000000005</v>
      </c>
      <c r="CK30" s="40">
        <f t="shared" si="68"/>
        <v>0.04</v>
      </c>
      <c r="CL30" s="62">
        <f t="shared" si="25"/>
        <v>17411.480129100004</v>
      </c>
      <c r="CM30" s="40">
        <f t="shared" si="69"/>
        <v>2.8500000000000001E-2</v>
      </c>
      <c r="CN30" s="62">
        <f t="shared" si="26"/>
        <v>496.22718367935011</v>
      </c>
    </row>
    <row r="31" spans="1:92" x14ac:dyDescent="0.2">
      <c r="A31" s="4">
        <f t="shared" si="27"/>
        <v>2037</v>
      </c>
      <c r="B31" s="62">
        <f t="shared" si="48"/>
        <v>0</v>
      </c>
      <c r="C31" s="62">
        <f>(B31-B30)*'Baseline Inputs'!$B$252/100/2 + B30 *'Baseline Inputs'!$B$252/100</f>
        <v>0</v>
      </c>
      <c r="D31" s="62">
        <f t="shared" si="28"/>
        <v>0</v>
      </c>
      <c r="E31" s="62">
        <f t="shared" si="4"/>
        <v>0</v>
      </c>
      <c r="F31" s="62">
        <f t="shared" si="49"/>
        <v>0</v>
      </c>
      <c r="G31" s="62">
        <f>(F31-F30)*'Baseline Inputs'!$B$253/100/2 + F30 *'Baseline Inputs'!$B$253/100</f>
        <v>0</v>
      </c>
      <c r="H31" s="62">
        <f t="shared" si="29"/>
        <v>0</v>
      </c>
      <c r="I31" s="62">
        <f t="shared" si="5"/>
        <v>0</v>
      </c>
      <c r="J31" s="62">
        <f t="shared" si="50"/>
        <v>0</v>
      </c>
      <c r="K31" s="62">
        <f>(J31-J30)*'Baseline Inputs'!$B$254/100/2 + J30 *'Baseline Inputs'!$B$254/100</f>
        <v>0</v>
      </c>
      <c r="L31" s="62">
        <f t="shared" si="30"/>
        <v>0</v>
      </c>
      <c r="M31" s="62">
        <f t="shared" si="6"/>
        <v>0</v>
      </c>
      <c r="N31" s="62">
        <f t="shared" si="51"/>
        <v>0</v>
      </c>
      <c r="O31" s="62">
        <f>(N31-N30)*'Baseline Inputs'!$B$255/100/2 + N30 *'Baseline Inputs'!$B$255/100</f>
        <v>0</v>
      </c>
      <c r="P31" s="62">
        <f t="shared" si="31"/>
        <v>0</v>
      </c>
      <c r="Q31" s="62">
        <f t="shared" si="7"/>
        <v>0</v>
      </c>
      <c r="R31" s="62">
        <f t="shared" si="52"/>
        <v>12218.77</v>
      </c>
      <c r="S31" s="62">
        <f>(R31-R30)*'Baseline Inputs'!$B$256/100/2 + R30 *'Baseline Inputs'!$B$256/100</f>
        <v>406.88504100000006</v>
      </c>
      <c r="T31" s="62">
        <f t="shared" si="32"/>
        <v>6306.718135500003</v>
      </c>
      <c r="U31" s="62">
        <f t="shared" si="8"/>
        <v>5912.0518644999975</v>
      </c>
      <c r="V31" s="62">
        <f t="shared" si="53"/>
        <v>9478.81</v>
      </c>
      <c r="W31" s="62">
        <f>(V31-V30)*'Baseline Inputs'!$B$257/100/2 + V30 *'Baseline Inputs'!$B$257/100</f>
        <v>284.36430000000001</v>
      </c>
      <c r="X31" s="62">
        <f t="shared" si="33"/>
        <v>4407.6466500000015</v>
      </c>
      <c r="Y31" s="62">
        <f t="shared" si="9"/>
        <v>5071.163349999998</v>
      </c>
      <c r="Z31" s="62">
        <f t="shared" si="54"/>
        <v>29633.81</v>
      </c>
      <c r="AA31" s="62">
        <f>(Z31-Z30)*'Baseline Inputs'!$B$258/100/2 + Z30 *'Baseline Inputs'!$B$258/100</f>
        <v>847.5269659999999</v>
      </c>
      <c r="AB31" s="62">
        <f t="shared" si="34"/>
        <v>13136.667972999994</v>
      </c>
      <c r="AC31" s="62">
        <f t="shared" si="10"/>
        <v>16497.142027000009</v>
      </c>
      <c r="AD31" s="62">
        <f t="shared" si="55"/>
        <v>0</v>
      </c>
      <c r="AE31" s="62">
        <f>(AD31-AD30)*'Baseline Inputs'!$B$259/100/2 + AD30 *'Baseline Inputs'!$B$259/100</f>
        <v>0</v>
      </c>
      <c r="AF31" s="62">
        <f t="shared" si="35"/>
        <v>0</v>
      </c>
      <c r="AG31" s="62">
        <f t="shared" si="11"/>
        <v>0</v>
      </c>
      <c r="AH31" s="62">
        <f t="shared" si="56"/>
        <v>0</v>
      </c>
      <c r="AI31" s="62">
        <f>(AH31-AH30)*'Baseline Inputs'!$B$260/100/2 + AH30 *'Baseline Inputs'!$B$260/100</f>
        <v>0</v>
      </c>
      <c r="AJ31" s="62">
        <f t="shared" si="36"/>
        <v>0</v>
      </c>
      <c r="AK31" s="62">
        <f t="shared" si="12"/>
        <v>0</v>
      </c>
      <c r="AL31" s="62">
        <f t="shared" si="57"/>
        <v>0</v>
      </c>
      <c r="AM31" s="62">
        <f>(AL31-AL30)*'Baseline Inputs'!$B$261/100/2 + AL30 *'Baseline Inputs'!$B$261/100</f>
        <v>0</v>
      </c>
      <c r="AN31" s="62">
        <f t="shared" si="37"/>
        <v>0</v>
      </c>
      <c r="AO31" s="62">
        <f t="shared" si="13"/>
        <v>0</v>
      </c>
      <c r="AP31" s="62">
        <f t="shared" si="58"/>
        <v>0</v>
      </c>
      <c r="AQ31" s="62">
        <f>(AP31-AP30)*'Baseline Inputs'!$B$264/100/2 + AP30 *'Baseline Inputs'!$B$264/100</f>
        <v>0</v>
      </c>
      <c r="AR31" s="62">
        <f t="shared" si="38"/>
        <v>0</v>
      </c>
      <c r="AS31" s="62">
        <f t="shared" si="14"/>
        <v>0</v>
      </c>
      <c r="AT31" s="62">
        <f t="shared" si="59"/>
        <v>0</v>
      </c>
      <c r="AU31" s="62">
        <f>(AT31-AT30)*'Baseline Inputs'!$B$265/100/2 + AT30 *'Baseline Inputs'!$B$265/100</f>
        <v>0</v>
      </c>
      <c r="AV31" s="62">
        <f t="shared" si="39"/>
        <v>0</v>
      </c>
      <c r="AW31" s="62">
        <f t="shared" si="15"/>
        <v>0</v>
      </c>
      <c r="AX31" s="62">
        <f t="shared" si="60"/>
        <v>0</v>
      </c>
      <c r="AY31" s="62">
        <f>(AX31-AX30)*'Baseline Inputs'!$B$266/100/2 + AX30 *'Baseline Inputs'!$B$266/100</f>
        <v>0</v>
      </c>
      <c r="AZ31" s="62">
        <f t="shared" si="40"/>
        <v>0</v>
      </c>
      <c r="BA31" s="62">
        <f t="shared" si="16"/>
        <v>0</v>
      </c>
      <c r="BB31" s="62">
        <f t="shared" si="61"/>
        <v>0</v>
      </c>
      <c r="BC31" s="62">
        <f>(BB31-BB30)*'Baseline Inputs'!$B$267/100/2 + BB30 *'Baseline Inputs'!$B$267/100</f>
        <v>0</v>
      </c>
      <c r="BD31" s="62">
        <f t="shared" si="41"/>
        <v>0</v>
      </c>
      <c r="BE31" s="62">
        <f t="shared" si="17"/>
        <v>0</v>
      </c>
      <c r="BF31" s="62">
        <f t="shared" si="62"/>
        <v>0</v>
      </c>
      <c r="BG31" s="62">
        <f>(BF31-BF30)*'Baseline Inputs'!$B$268/100/2 + BF30 *'Baseline Inputs'!$B$268/100</f>
        <v>0</v>
      </c>
      <c r="BH31" s="62">
        <f t="shared" si="42"/>
        <v>0</v>
      </c>
      <c r="BI31" s="62">
        <f t="shared" si="18"/>
        <v>0</v>
      </c>
      <c r="BJ31" s="62">
        <f t="shared" si="63"/>
        <v>0</v>
      </c>
      <c r="BK31" s="62">
        <f>(BJ31-BJ30)*'Baseline Inputs'!$B$269/100/2 + BJ30 *'Baseline Inputs'!$B$269/100</f>
        <v>0</v>
      </c>
      <c r="BL31" s="62">
        <f t="shared" si="43"/>
        <v>0</v>
      </c>
      <c r="BM31" s="62">
        <f t="shared" si="19"/>
        <v>0</v>
      </c>
      <c r="BN31" s="62">
        <f t="shared" si="64"/>
        <v>0</v>
      </c>
      <c r="BO31" s="62">
        <f>(BN31-BN30)*'Baseline Inputs'!$B$270/100/2 + BN30 *'Baseline Inputs'!$B$270/100</f>
        <v>0</v>
      </c>
      <c r="BP31" s="62">
        <f t="shared" si="44"/>
        <v>0</v>
      </c>
      <c r="BQ31" s="62">
        <f t="shared" si="20"/>
        <v>0</v>
      </c>
      <c r="BR31" s="62">
        <f t="shared" si="65"/>
        <v>0</v>
      </c>
      <c r="BS31" s="62">
        <f>(BR31-BR30)*'Baseline Inputs'!$B$271/100/2 + BR30 *'Baseline Inputs'!$B$271/100</f>
        <v>0</v>
      </c>
      <c r="BT31" s="62">
        <f t="shared" si="45"/>
        <v>0</v>
      </c>
      <c r="BU31" s="62">
        <f t="shared" si="21"/>
        <v>0</v>
      </c>
      <c r="BV31" s="62">
        <f t="shared" si="66"/>
        <v>0</v>
      </c>
      <c r="BW31" s="62">
        <f>(BV31-BV30)*'Baseline Inputs'!$B$272/100/2 + BV30 *'Baseline Inputs'!$B$272/100</f>
        <v>0</v>
      </c>
      <c r="BX31" s="62">
        <f t="shared" si="46"/>
        <v>0</v>
      </c>
      <c r="BY31" s="62">
        <f t="shared" si="22"/>
        <v>0</v>
      </c>
      <c r="BZ31" s="62">
        <f t="shared" si="67"/>
        <v>0</v>
      </c>
      <c r="CA31" s="62">
        <f>(BZ31-BZ30)*'Baseline Inputs'!$B$273/100/2 + BZ30 *'Baseline Inputs'!$B$273/100</f>
        <v>0</v>
      </c>
      <c r="CB31" s="62">
        <f t="shared" si="47"/>
        <v>0</v>
      </c>
      <c r="CC31" s="62">
        <f t="shared" si="23"/>
        <v>0</v>
      </c>
      <c r="CD31" s="62">
        <f t="shared" si="0"/>
        <v>51331.39</v>
      </c>
      <c r="CE31" s="62">
        <f t="shared" si="1"/>
        <v>1538.7763070000001</v>
      </c>
      <c r="CF31" s="62">
        <f t="shared" si="2"/>
        <v>23851.032758499998</v>
      </c>
      <c r="CG31" s="62">
        <f t="shared" si="3"/>
        <v>27480.357241500005</v>
      </c>
      <c r="CH31" s="62">
        <f>'CCA &amp; Cap Tax'!BL31</f>
        <v>0</v>
      </c>
      <c r="CI31" s="62">
        <f t="shared" si="24"/>
        <v>27480.357241500005</v>
      </c>
      <c r="CJ31" s="40">
        <f t="shared" si="68"/>
        <v>0.56000000000000005</v>
      </c>
      <c r="CK31" s="40">
        <f t="shared" si="68"/>
        <v>0.04</v>
      </c>
      <c r="CL31" s="62">
        <f t="shared" si="25"/>
        <v>16488.214344900007</v>
      </c>
      <c r="CM31" s="40">
        <f t="shared" si="69"/>
        <v>2.8500000000000001E-2</v>
      </c>
      <c r="CN31" s="62">
        <f t="shared" si="26"/>
        <v>469.91410882965022</v>
      </c>
    </row>
    <row r="32" spans="1:92" x14ac:dyDescent="0.2">
      <c r="A32" s="4">
        <f t="shared" si="27"/>
        <v>2038</v>
      </c>
      <c r="B32" s="62">
        <f t="shared" si="48"/>
        <v>0</v>
      </c>
      <c r="C32" s="62">
        <f>(B32-B31)*'Baseline Inputs'!$B$252/100/2 + B31 *'Baseline Inputs'!$B$252/100</f>
        <v>0</v>
      </c>
      <c r="D32" s="62">
        <f t="shared" si="28"/>
        <v>0</v>
      </c>
      <c r="E32" s="62">
        <f t="shared" si="4"/>
        <v>0</v>
      </c>
      <c r="F32" s="62">
        <f t="shared" si="49"/>
        <v>0</v>
      </c>
      <c r="G32" s="62">
        <f>(F32-F31)*'Baseline Inputs'!$B$253/100/2 + F31 *'Baseline Inputs'!$B$253/100</f>
        <v>0</v>
      </c>
      <c r="H32" s="62">
        <f t="shared" si="29"/>
        <v>0</v>
      </c>
      <c r="I32" s="62">
        <f t="shared" si="5"/>
        <v>0</v>
      </c>
      <c r="J32" s="62">
        <f t="shared" si="50"/>
        <v>0</v>
      </c>
      <c r="K32" s="62">
        <f>(J32-J31)*'Baseline Inputs'!$B$254/100/2 + J31 *'Baseline Inputs'!$B$254/100</f>
        <v>0</v>
      </c>
      <c r="L32" s="62">
        <f t="shared" si="30"/>
        <v>0</v>
      </c>
      <c r="M32" s="62">
        <f t="shared" si="6"/>
        <v>0</v>
      </c>
      <c r="N32" s="62">
        <f t="shared" si="51"/>
        <v>0</v>
      </c>
      <c r="O32" s="62">
        <f>(N32-N31)*'Baseline Inputs'!$B$255/100/2 + N31 *'Baseline Inputs'!$B$255/100</f>
        <v>0</v>
      </c>
      <c r="P32" s="62">
        <f t="shared" si="31"/>
        <v>0</v>
      </c>
      <c r="Q32" s="62">
        <f t="shared" si="7"/>
        <v>0</v>
      </c>
      <c r="R32" s="62">
        <f t="shared" si="52"/>
        <v>12218.77</v>
      </c>
      <c r="S32" s="62">
        <f>(R32-R31)*'Baseline Inputs'!$B$256/100/2 + R31 *'Baseline Inputs'!$B$256/100</f>
        <v>406.88504100000006</v>
      </c>
      <c r="T32" s="62">
        <f t="shared" si="32"/>
        <v>6713.6031765000034</v>
      </c>
      <c r="U32" s="62">
        <f t="shared" si="8"/>
        <v>5505.166823499997</v>
      </c>
      <c r="V32" s="62">
        <f t="shared" si="53"/>
        <v>9478.81</v>
      </c>
      <c r="W32" s="62">
        <f>(V32-V31)*'Baseline Inputs'!$B$257/100/2 + V31 *'Baseline Inputs'!$B$257/100</f>
        <v>284.36430000000001</v>
      </c>
      <c r="X32" s="62">
        <f t="shared" si="33"/>
        <v>4692.0109500000017</v>
      </c>
      <c r="Y32" s="62">
        <f t="shared" si="9"/>
        <v>4786.7990499999978</v>
      </c>
      <c r="Z32" s="62">
        <f t="shared" si="54"/>
        <v>29633.81</v>
      </c>
      <c r="AA32" s="62">
        <f>(Z32-Z31)*'Baseline Inputs'!$B$258/100/2 + Z31 *'Baseline Inputs'!$B$258/100</f>
        <v>847.5269659999999</v>
      </c>
      <c r="AB32" s="62">
        <f t="shared" si="34"/>
        <v>13984.194938999994</v>
      </c>
      <c r="AC32" s="62">
        <f t="shared" si="10"/>
        <v>15649.615061000008</v>
      </c>
      <c r="AD32" s="62">
        <f t="shared" si="55"/>
        <v>0</v>
      </c>
      <c r="AE32" s="62">
        <f>(AD32-AD31)*'Baseline Inputs'!$B$259/100/2 + AD31 *'Baseline Inputs'!$B$259/100</f>
        <v>0</v>
      </c>
      <c r="AF32" s="62">
        <f t="shared" si="35"/>
        <v>0</v>
      </c>
      <c r="AG32" s="62">
        <f t="shared" si="11"/>
        <v>0</v>
      </c>
      <c r="AH32" s="62">
        <f t="shared" si="56"/>
        <v>0</v>
      </c>
      <c r="AI32" s="62">
        <f>(AH32-AH31)*'Baseline Inputs'!$B$260/100/2 + AH31 *'Baseline Inputs'!$B$260/100</f>
        <v>0</v>
      </c>
      <c r="AJ32" s="62">
        <f t="shared" si="36"/>
        <v>0</v>
      </c>
      <c r="AK32" s="62">
        <f t="shared" si="12"/>
        <v>0</v>
      </c>
      <c r="AL32" s="62">
        <f t="shared" si="57"/>
        <v>0</v>
      </c>
      <c r="AM32" s="62">
        <f>(AL32-AL31)*'Baseline Inputs'!$B$261/100/2 + AL31 *'Baseline Inputs'!$B$261/100</f>
        <v>0</v>
      </c>
      <c r="AN32" s="62">
        <f t="shared" si="37"/>
        <v>0</v>
      </c>
      <c r="AO32" s="62">
        <f t="shared" si="13"/>
        <v>0</v>
      </c>
      <c r="AP32" s="62">
        <f t="shared" si="58"/>
        <v>0</v>
      </c>
      <c r="AQ32" s="62">
        <f>(AP32-AP31)*'Baseline Inputs'!$B$264/100/2 + AP31 *'Baseline Inputs'!$B$264/100</f>
        <v>0</v>
      </c>
      <c r="AR32" s="62">
        <f t="shared" si="38"/>
        <v>0</v>
      </c>
      <c r="AS32" s="62">
        <f t="shared" si="14"/>
        <v>0</v>
      </c>
      <c r="AT32" s="62">
        <f t="shared" si="59"/>
        <v>0</v>
      </c>
      <c r="AU32" s="62">
        <f>(AT32-AT31)*'Baseline Inputs'!$B$265/100/2 + AT31 *'Baseline Inputs'!$B$265/100</f>
        <v>0</v>
      </c>
      <c r="AV32" s="62">
        <f t="shared" si="39"/>
        <v>0</v>
      </c>
      <c r="AW32" s="62">
        <f t="shared" si="15"/>
        <v>0</v>
      </c>
      <c r="AX32" s="62">
        <f t="shared" si="60"/>
        <v>0</v>
      </c>
      <c r="AY32" s="62">
        <f>(AX32-AX31)*'Baseline Inputs'!$B$266/100/2 + AX31 *'Baseline Inputs'!$B$266/100</f>
        <v>0</v>
      </c>
      <c r="AZ32" s="62">
        <f t="shared" si="40"/>
        <v>0</v>
      </c>
      <c r="BA32" s="62">
        <f t="shared" si="16"/>
        <v>0</v>
      </c>
      <c r="BB32" s="62">
        <f t="shared" si="61"/>
        <v>0</v>
      </c>
      <c r="BC32" s="62">
        <f>(BB32-BB31)*'Baseline Inputs'!$B$267/100/2 + BB31 *'Baseline Inputs'!$B$267/100</f>
        <v>0</v>
      </c>
      <c r="BD32" s="62">
        <f t="shared" si="41"/>
        <v>0</v>
      </c>
      <c r="BE32" s="62">
        <f t="shared" si="17"/>
        <v>0</v>
      </c>
      <c r="BF32" s="62">
        <f t="shared" si="62"/>
        <v>0</v>
      </c>
      <c r="BG32" s="62">
        <f>(BF32-BF31)*'Baseline Inputs'!$B$268/100/2 + BF31 *'Baseline Inputs'!$B$268/100</f>
        <v>0</v>
      </c>
      <c r="BH32" s="62">
        <f t="shared" si="42"/>
        <v>0</v>
      </c>
      <c r="BI32" s="62">
        <f t="shared" si="18"/>
        <v>0</v>
      </c>
      <c r="BJ32" s="62">
        <f t="shared" si="63"/>
        <v>0</v>
      </c>
      <c r="BK32" s="62">
        <f>(BJ32-BJ31)*'Baseline Inputs'!$B$269/100/2 + BJ31 *'Baseline Inputs'!$B$269/100</f>
        <v>0</v>
      </c>
      <c r="BL32" s="62">
        <f t="shared" si="43"/>
        <v>0</v>
      </c>
      <c r="BM32" s="62">
        <f t="shared" si="19"/>
        <v>0</v>
      </c>
      <c r="BN32" s="62">
        <f t="shared" si="64"/>
        <v>0</v>
      </c>
      <c r="BO32" s="62">
        <f>(BN32-BN31)*'Baseline Inputs'!$B$270/100/2 + BN31 *'Baseline Inputs'!$B$270/100</f>
        <v>0</v>
      </c>
      <c r="BP32" s="62">
        <f t="shared" si="44"/>
        <v>0</v>
      </c>
      <c r="BQ32" s="62">
        <f t="shared" si="20"/>
        <v>0</v>
      </c>
      <c r="BR32" s="62">
        <f t="shared" si="65"/>
        <v>0</v>
      </c>
      <c r="BS32" s="62">
        <f>(BR32-BR31)*'Baseline Inputs'!$B$271/100/2 + BR31 *'Baseline Inputs'!$B$271/100</f>
        <v>0</v>
      </c>
      <c r="BT32" s="62">
        <f t="shared" si="45"/>
        <v>0</v>
      </c>
      <c r="BU32" s="62">
        <f t="shared" si="21"/>
        <v>0</v>
      </c>
      <c r="BV32" s="62">
        <f t="shared" si="66"/>
        <v>0</v>
      </c>
      <c r="BW32" s="62">
        <f>(BV32-BV31)*'Baseline Inputs'!$B$272/100/2 + BV31 *'Baseline Inputs'!$B$272/100</f>
        <v>0</v>
      </c>
      <c r="BX32" s="62">
        <f t="shared" si="46"/>
        <v>0</v>
      </c>
      <c r="BY32" s="62">
        <f t="shared" si="22"/>
        <v>0</v>
      </c>
      <c r="BZ32" s="62">
        <f t="shared" si="67"/>
        <v>0</v>
      </c>
      <c r="CA32" s="62">
        <f>(BZ32-BZ31)*'Baseline Inputs'!$B$273/100/2 + BZ31 *'Baseline Inputs'!$B$273/100</f>
        <v>0</v>
      </c>
      <c r="CB32" s="62">
        <f t="shared" si="47"/>
        <v>0</v>
      </c>
      <c r="CC32" s="62">
        <f t="shared" si="23"/>
        <v>0</v>
      </c>
      <c r="CD32" s="62">
        <f t="shared" si="0"/>
        <v>51331.39</v>
      </c>
      <c r="CE32" s="62">
        <f t="shared" si="1"/>
        <v>1538.7763070000001</v>
      </c>
      <c r="CF32" s="62">
        <f t="shared" si="2"/>
        <v>25389.809065499998</v>
      </c>
      <c r="CG32" s="62">
        <f t="shared" si="3"/>
        <v>25941.580934500002</v>
      </c>
      <c r="CH32" s="62">
        <f>'CCA &amp; Cap Tax'!BL32</f>
        <v>0</v>
      </c>
      <c r="CI32" s="62">
        <f t="shared" si="24"/>
        <v>25941.580934500002</v>
      </c>
      <c r="CJ32" s="40">
        <f t="shared" si="68"/>
        <v>0.56000000000000005</v>
      </c>
      <c r="CK32" s="40">
        <f t="shared" si="68"/>
        <v>0.04</v>
      </c>
      <c r="CL32" s="62">
        <f t="shared" si="25"/>
        <v>15564.948560700002</v>
      </c>
      <c r="CM32" s="40">
        <f t="shared" si="69"/>
        <v>2.8500000000000001E-2</v>
      </c>
      <c r="CN32" s="62">
        <f t="shared" si="26"/>
        <v>443.6010339799501</v>
      </c>
    </row>
    <row r="33" spans="1:92" x14ac:dyDescent="0.2">
      <c r="A33" s="4">
        <f t="shared" si="27"/>
        <v>2039</v>
      </c>
      <c r="B33" s="62">
        <f t="shared" si="48"/>
        <v>0</v>
      </c>
      <c r="C33" s="62">
        <f>(B33-B32)*'Baseline Inputs'!$B$252/100/2 + B32 *'Baseline Inputs'!$B$252/100</f>
        <v>0</v>
      </c>
      <c r="D33" s="62">
        <f t="shared" si="28"/>
        <v>0</v>
      </c>
      <c r="E33" s="62">
        <f t="shared" si="4"/>
        <v>0</v>
      </c>
      <c r="F33" s="62">
        <f t="shared" si="49"/>
        <v>0</v>
      </c>
      <c r="G33" s="62">
        <f>(F33-F32)*'Baseline Inputs'!$B$253/100/2 + F32 *'Baseline Inputs'!$B$253/100</f>
        <v>0</v>
      </c>
      <c r="H33" s="62">
        <f t="shared" si="29"/>
        <v>0</v>
      </c>
      <c r="I33" s="62">
        <f t="shared" si="5"/>
        <v>0</v>
      </c>
      <c r="J33" s="62">
        <f t="shared" si="50"/>
        <v>0</v>
      </c>
      <c r="K33" s="62">
        <f>(J33-J32)*'Baseline Inputs'!$B$254/100/2 + J32 *'Baseline Inputs'!$B$254/100</f>
        <v>0</v>
      </c>
      <c r="L33" s="62">
        <f t="shared" si="30"/>
        <v>0</v>
      </c>
      <c r="M33" s="62">
        <f t="shared" si="6"/>
        <v>0</v>
      </c>
      <c r="N33" s="62">
        <f t="shared" si="51"/>
        <v>0</v>
      </c>
      <c r="O33" s="62">
        <f>(N33-N32)*'Baseline Inputs'!$B$255/100/2 + N32 *'Baseline Inputs'!$B$255/100</f>
        <v>0</v>
      </c>
      <c r="P33" s="62">
        <f t="shared" si="31"/>
        <v>0</v>
      </c>
      <c r="Q33" s="62">
        <f t="shared" si="7"/>
        <v>0</v>
      </c>
      <c r="R33" s="62">
        <f t="shared" si="52"/>
        <v>12218.77</v>
      </c>
      <c r="S33" s="62">
        <f>(R33-R32)*'Baseline Inputs'!$B$256/100/2 + R32 *'Baseline Inputs'!$B$256/100</f>
        <v>406.88504100000006</v>
      </c>
      <c r="T33" s="62">
        <f t="shared" si="32"/>
        <v>7120.4882175000039</v>
      </c>
      <c r="U33" s="62">
        <f t="shared" si="8"/>
        <v>5098.2817824999966</v>
      </c>
      <c r="V33" s="62">
        <f t="shared" si="53"/>
        <v>9478.81</v>
      </c>
      <c r="W33" s="62">
        <f>(V33-V32)*'Baseline Inputs'!$B$257/100/2 + V32 *'Baseline Inputs'!$B$257/100</f>
        <v>284.36430000000001</v>
      </c>
      <c r="X33" s="62">
        <f t="shared" si="33"/>
        <v>4976.3752500000019</v>
      </c>
      <c r="Y33" s="62">
        <f t="shared" si="9"/>
        <v>4502.4347499999976</v>
      </c>
      <c r="Z33" s="62">
        <f t="shared" si="54"/>
        <v>29633.81</v>
      </c>
      <c r="AA33" s="62">
        <f>(Z33-Z32)*'Baseline Inputs'!$B$258/100/2 + Z32 *'Baseline Inputs'!$B$258/100</f>
        <v>847.5269659999999</v>
      </c>
      <c r="AB33" s="62">
        <f t="shared" si="34"/>
        <v>14831.721904999993</v>
      </c>
      <c r="AC33" s="62">
        <f t="shared" si="10"/>
        <v>14802.088095000008</v>
      </c>
      <c r="AD33" s="62">
        <f t="shared" si="55"/>
        <v>0</v>
      </c>
      <c r="AE33" s="62">
        <f>(AD33-AD32)*'Baseline Inputs'!$B$259/100/2 + AD32 *'Baseline Inputs'!$B$259/100</f>
        <v>0</v>
      </c>
      <c r="AF33" s="62">
        <f t="shared" si="35"/>
        <v>0</v>
      </c>
      <c r="AG33" s="62">
        <f t="shared" si="11"/>
        <v>0</v>
      </c>
      <c r="AH33" s="62">
        <f t="shared" si="56"/>
        <v>0</v>
      </c>
      <c r="AI33" s="62">
        <f>(AH33-AH32)*'Baseline Inputs'!$B$260/100/2 + AH32 *'Baseline Inputs'!$B$260/100</f>
        <v>0</v>
      </c>
      <c r="AJ33" s="62">
        <f t="shared" si="36"/>
        <v>0</v>
      </c>
      <c r="AK33" s="62">
        <f t="shared" si="12"/>
        <v>0</v>
      </c>
      <c r="AL33" s="62">
        <f t="shared" si="57"/>
        <v>0</v>
      </c>
      <c r="AM33" s="62">
        <f>(AL33-AL32)*'Baseline Inputs'!$B$261/100/2 + AL32 *'Baseline Inputs'!$B$261/100</f>
        <v>0</v>
      </c>
      <c r="AN33" s="62">
        <f t="shared" si="37"/>
        <v>0</v>
      </c>
      <c r="AO33" s="62">
        <f t="shared" si="13"/>
        <v>0</v>
      </c>
      <c r="AP33" s="62">
        <f t="shared" si="58"/>
        <v>0</v>
      </c>
      <c r="AQ33" s="62">
        <f>(AP33-AP32)*'Baseline Inputs'!$B$264/100/2 + AP32 *'Baseline Inputs'!$B$264/100</f>
        <v>0</v>
      </c>
      <c r="AR33" s="62">
        <f t="shared" si="38"/>
        <v>0</v>
      </c>
      <c r="AS33" s="62">
        <f t="shared" si="14"/>
        <v>0</v>
      </c>
      <c r="AT33" s="62">
        <f t="shared" si="59"/>
        <v>0</v>
      </c>
      <c r="AU33" s="62">
        <f>(AT33-AT32)*'Baseline Inputs'!$B$265/100/2 + AT32 *'Baseline Inputs'!$B$265/100</f>
        <v>0</v>
      </c>
      <c r="AV33" s="62">
        <f t="shared" si="39"/>
        <v>0</v>
      </c>
      <c r="AW33" s="62">
        <f t="shared" si="15"/>
        <v>0</v>
      </c>
      <c r="AX33" s="62">
        <f t="shared" si="60"/>
        <v>0</v>
      </c>
      <c r="AY33" s="62">
        <f>(AX33-AX32)*'Baseline Inputs'!$B$266/100/2 + AX32 *'Baseline Inputs'!$B$266/100</f>
        <v>0</v>
      </c>
      <c r="AZ33" s="62">
        <f t="shared" si="40"/>
        <v>0</v>
      </c>
      <c r="BA33" s="62">
        <f t="shared" si="16"/>
        <v>0</v>
      </c>
      <c r="BB33" s="62">
        <f t="shared" si="61"/>
        <v>0</v>
      </c>
      <c r="BC33" s="62">
        <f>(BB33-BB32)*'Baseline Inputs'!$B$267/100/2 + BB32 *'Baseline Inputs'!$B$267/100</f>
        <v>0</v>
      </c>
      <c r="BD33" s="62">
        <f t="shared" si="41"/>
        <v>0</v>
      </c>
      <c r="BE33" s="62">
        <f t="shared" si="17"/>
        <v>0</v>
      </c>
      <c r="BF33" s="62">
        <f t="shared" si="62"/>
        <v>0</v>
      </c>
      <c r="BG33" s="62">
        <f>(BF33-BF32)*'Baseline Inputs'!$B$268/100/2 + BF32 *'Baseline Inputs'!$B$268/100</f>
        <v>0</v>
      </c>
      <c r="BH33" s="62">
        <f t="shared" si="42"/>
        <v>0</v>
      </c>
      <c r="BI33" s="62">
        <f t="shared" si="18"/>
        <v>0</v>
      </c>
      <c r="BJ33" s="62">
        <f t="shared" si="63"/>
        <v>0</v>
      </c>
      <c r="BK33" s="62">
        <f>(BJ33-BJ32)*'Baseline Inputs'!$B$269/100/2 + BJ32 *'Baseline Inputs'!$B$269/100</f>
        <v>0</v>
      </c>
      <c r="BL33" s="62">
        <f t="shared" si="43"/>
        <v>0</v>
      </c>
      <c r="BM33" s="62">
        <f t="shared" si="19"/>
        <v>0</v>
      </c>
      <c r="BN33" s="62">
        <f t="shared" si="64"/>
        <v>0</v>
      </c>
      <c r="BO33" s="62">
        <f>(BN33-BN32)*'Baseline Inputs'!$B$270/100/2 + BN32 *'Baseline Inputs'!$B$270/100</f>
        <v>0</v>
      </c>
      <c r="BP33" s="62">
        <f t="shared" si="44"/>
        <v>0</v>
      </c>
      <c r="BQ33" s="62">
        <f t="shared" si="20"/>
        <v>0</v>
      </c>
      <c r="BR33" s="62">
        <f t="shared" si="65"/>
        <v>0</v>
      </c>
      <c r="BS33" s="62">
        <f>(BR33-BR32)*'Baseline Inputs'!$B$271/100/2 + BR32 *'Baseline Inputs'!$B$271/100</f>
        <v>0</v>
      </c>
      <c r="BT33" s="62">
        <f t="shared" si="45"/>
        <v>0</v>
      </c>
      <c r="BU33" s="62">
        <f t="shared" si="21"/>
        <v>0</v>
      </c>
      <c r="BV33" s="62">
        <f t="shared" si="66"/>
        <v>0</v>
      </c>
      <c r="BW33" s="62">
        <f>(BV33-BV32)*'Baseline Inputs'!$B$272/100/2 + BV32 *'Baseline Inputs'!$B$272/100</f>
        <v>0</v>
      </c>
      <c r="BX33" s="62">
        <f t="shared" si="46"/>
        <v>0</v>
      </c>
      <c r="BY33" s="62">
        <f t="shared" si="22"/>
        <v>0</v>
      </c>
      <c r="BZ33" s="62">
        <f t="shared" si="67"/>
        <v>0</v>
      </c>
      <c r="CA33" s="62">
        <f>(BZ33-BZ32)*'Baseline Inputs'!$B$273/100/2 + BZ32 *'Baseline Inputs'!$B$273/100</f>
        <v>0</v>
      </c>
      <c r="CB33" s="62">
        <f t="shared" si="47"/>
        <v>0</v>
      </c>
      <c r="CC33" s="62">
        <f t="shared" si="23"/>
        <v>0</v>
      </c>
      <c r="CD33" s="62">
        <f t="shared" si="0"/>
        <v>51331.39</v>
      </c>
      <c r="CE33" s="62">
        <f t="shared" si="1"/>
        <v>1538.7763070000001</v>
      </c>
      <c r="CF33" s="62">
        <f t="shared" si="2"/>
        <v>26928.585372499998</v>
      </c>
      <c r="CG33" s="62">
        <f t="shared" si="3"/>
        <v>24402.804627500002</v>
      </c>
      <c r="CH33" s="62">
        <f>'CCA &amp; Cap Tax'!BL33</f>
        <v>0</v>
      </c>
      <c r="CI33" s="62">
        <f t="shared" si="24"/>
        <v>24402.804627500002</v>
      </c>
      <c r="CJ33" s="40">
        <f t="shared" si="68"/>
        <v>0.56000000000000005</v>
      </c>
      <c r="CK33" s="40">
        <f t="shared" si="68"/>
        <v>0.04</v>
      </c>
      <c r="CL33" s="62">
        <f t="shared" si="25"/>
        <v>14641.682776500003</v>
      </c>
      <c r="CM33" s="40">
        <f t="shared" si="69"/>
        <v>2.8500000000000001E-2</v>
      </c>
      <c r="CN33" s="62">
        <f t="shared" si="26"/>
        <v>417.2879591302501</v>
      </c>
    </row>
    <row r="34" spans="1:92" x14ac:dyDescent="0.2">
      <c r="A34" s="4">
        <f t="shared" si="27"/>
        <v>2040</v>
      </c>
      <c r="B34" s="62">
        <f t="shared" si="48"/>
        <v>0</v>
      </c>
      <c r="C34" s="62">
        <f>(B34-B33)*'Baseline Inputs'!$B$252/100/2 + B33 *'Baseline Inputs'!$B$252/100</f>
        <v>0</v>
      </c>
      <c r="D34" s="62">
        <f t="shared" si="28"/>
        <v>0</v>
      </c>
      <c r="E34" s="62">
        <f t="shared" si="4"/>
        <v>0</v>
      </c>
      <c r="F34" s="62">
        <f t="shared" si="49"/>
        <v>0</v>
      </c>
      <c r="G34" s="62">
        <f>(F34-F33)*'Baseline Inputs'!$B$253/100/2 + F33 *'Baseline Inputs'!$B$253/100</f>
        <v>0</v>
      </c>
      <c r="H34" s="62">
        <f t="shared" si="29"/>
        <v>0</v>
      </c>
      <c r="I34" s="62">
        <f t="shared" si="5"/>
        <v>0</v>
      </c>
      <c r="J34" s="62">
        <f t="shared" si="50"/>
        <v>0</v>
      </c>
      <c r="K34" s="62">
        <f>(J34-J33)*'Baseline Inputs'!$B$254/100/2 + J33 *'Baseline Inputs'!$B$254/100</f>
        <v>0</v>
      </c>
      <c r="L34" s="62">
        <f t="shared" si="30"/>
        <v>0</v>
      </c>
      <c r="M34" s="62">
        <f t="shared" si="6"/>
        <v>0</v>
      </c>
      <c r="N34" s="62">
        <f t="shared" si="51"/>
        <v>0</v>
      </c>
      <c r="O34" s="62">
        <f>(N34-N33)*'Baseline Inputs'!$B$255/100/2 + N33 *'Baseline Inputs'!$B$255/100</f>
        <v>0</v>
      </c>
      <c r="P34" s="62">
        <f t="shared" si="31"/>
        <v>0</v>
      </c>
      <c r="Q34" s="62">
        <f t="shared" si="7"/>
        <v>0</v>
      </c>
      <c r="R34" s="62">
        <f t="shared" si="52"/>
        <v>12218.77</v>
      </c>
      <c r="S34" s="62">
        <f>(R34-R33)*'Baseline Inputs'!$B$256/100/2 + R33 *'Baseline Inputs'!$B$256/100</f>
        <v>406.88504100000006</v>
      </c>
      <c r="T34" s="62">
        <f t="shared" si="32"/>
        <v>7527.3732585000043</v>
      </c>
      <c r="U34" s="62">
        <f t="shared" si="8"/>
        <v>4691.3967414999961</v>
      </c>
      <c r="V34" s="62">
        <f t="shared" si="53"/>
        <v>9478.81</v>
      </c>
      <c r="W34" s="62">
        <f>(V34-V33)*'Baseline Inputs'!$B$257/100/2 + V33 *'Baseline Inputs'!$B$257/100</f>
        <v>284.36430000000001</v>
      </c>
      <c r="X34" s="62">
        <f t="shared" si="33"/>
        <v>5260.7395500000021</v>
      </c>
      <c r="Y34" s="62">
        <f t="shared" si="9"/>
        <v>4218.0704499999974</v>
      </c>
      <c r="Z34" s="62">
        <f t="shared" si="54"/>
        <v>29633.81</v>
      </c>
      <c r="AA34" s="62">
        <f>(Z34-Z33)*'Baseline Inputs'!$B$258/100/2 + Z33 *'Baseline Inputs'!$B$258/100</f>
        <v>847.5269659999999</v>
      </c>
      <c r="AB34" s="62">
        <f t="shared" si="34"/>
        <v>15679.248870999993</v>
      </c>
      <c r="AC34" s="62">
        <f t="shared" si="10"/>
        <v>13954.561129000009</v>
      </c>
      <c r="AD34" s="62">
        <f t="shared" si="55"/>
        <v>0</v>
      </c>
      <c r="AE34" s="62">
        <f>(AD34-AD33)*'Baseline Inputs'!$B$259/100/2 + AD33 *'Baseline Inputs'!$B$259/100</f>
        <v>0</v>
      </c>
      <c r="AF34" s="62">
        <f t="shared" si="35"/>
        <v>0</v>
      </c>
      <c r="AG34" s="62">
        <f t="shared" si="11"/>
        <v>0</v>
      </c>
      <c r="AH34" s="62">
        <f t="shared" si="56"/>
        <v>0</v>
      </c>
      <c r="AI34" s="62">
        <f>(AH34-AH33)*'Baseline Inputs'!$B$260/100/2 + AH33 *'Baseline Inputs'!$B$260/100</f>
        <v>0</v>
      </c>
      <c r="AJ34" s="62">
        <f t="shared" si="36"/>
        <v>0</v>
      </c>
      <c r="AK34" s="62">
        <f t="shared" si="12"/>
        <v>0</v>
      </c>
      <c r="AL34" s="62">
        <f t="shared" si="57"/>
        <v>0</v>
      </c>
      <c r="AM34" s="62">
        <f>(AL34-AL33)*'Baseline Inputs'!$B$261/100/2 + AL33 *'Baseline Inputs'!$B$261/100</f>
        <v>0</v>
      </c>
      <c r="AN34" s="62">
        <f t="shared" si="37"/>
        <v>0</v>
      </c>
      <c r="AO34" s="62">
        <f t="shared" si="13"/>
        <v>0</v>
      </c>
      <c r="AP34" s="62">
        <f t="shared" si="58"/>
        <v>0</v>
      </c>
      <c r="AQ34" s="62">
        <f>(AP34-AP33)*'Baseline Inputs'!$B$264/100/2 + AP33 *'Baseline Inputs'!$B$264/100</f>
        <v>0</v>
      </c>
      <c r="AR34" s="62">
        <f t="shared" si="38"/>
        <v>0</v>
      </c>
      <c r="AS34" s="62">
        <f t="shared" si="14"/>
        <v>0</v>
      </c>
      <c r="AT34" s="62">
        <f t="shared" si="59"/>
        <v>0</v>
      </c>
      <c r="AU34" s="62">
        <f>(AT34-AT33)*'Baseline Inputs'!$B$265/100/2 + AT33 *'Baseline Inputs'!$B$265/100</f>
        <v>0</v>
      </c>
      <c r="AV34" s="62">
        <f t="shared" si="39"/>
        <v>0</v>
      </c>
      <c r="AW34" s="62">
        <f t="shared" si="15"/>
        <v>0</v>
      </c>
      <c r="AX34" s="62">
        <f t="shared" si="60"/>
        <v>0</v>
      </c>
      <c r="AY34" s="62">
        <f>(AX34-AX33)*'Baseline Inputs'!$B$266/100/2 + AX33 *'Baseline Inputs'!$B$266/100</f>
        <v>0</v>
      </c>
      <c r="AZ34" s="62">
        <f t="shared" si="40"/>
        <v>0</v>
      </c>
      <c r="BA34" s="62">
        <f t="shared" si="16"/>
        <v>0</v>
      </c>
      <c r="BB34" s="62">
        <f t="shared" si="61"/>
        <v>0</v>
      </c>
      <c r="BC34" s="62">
        <f>(BB34-BB33)*'Baseline Inputs'!$B$267/100/2 + BB33 *'Baseline Inputs'!$B$267/100</f>
        <v>0</v>
      </c>
      <c r="BD34" s="62">
        <f t="shared" si="41"/>
        <v>0</v>
      </c>
      <c r="BE34" s="62">
        <f t="shared" si="17"/>
        <v>0</v>
      </c>
      <c r="BF34" s="62">
        <f t="shared" si="62"/>
        <v>0</v>
      </c>
      <c r="BG34" s="62">
        <f>(BF34-BF33)*'Baseline Inputs'!$B$268/100/2 + BF33 *'Baseline Inputs'!$B$268/100</f>
        <v>0</v>
      </c>
      <c r="BH34" s="62">
        <f t="shared" si="42"/>
        <v>0</v>
      </c>
      <c r="BI34" s="62">
        <f t="shared" si="18"/>
        <v>0</v>
      </c>
      <c r="BJ34" s="62">
        <f t="shared" si="63"/>
        <v>0</v>
      </c>
      <c r="BK34" s="62">
        <f>(BJ34-BJ33)*'Baseline Inputs'!$B$269/100/2 + BJ33 *'Baseline Inputs'!$B$269/100</f>
        <v>0</v>
      </c>
      <c r="BL34" s="62">
        <f t="shared" si="43"/>
        <v>0</v>
      </c>
      <c r="BM34" s="62">
        <f t="shared" si="19"/>
        <v>0</v>
      </c>
      <c r="BN34" s="62">
        <f t="shared" si="64"/>
        <v>0</v>
      </c>
      <c r="BO34" s="62">
        <f>(BN34-BN33)*'Baseline Inputs'!$B$270/100/2 + BN33 *'Baseline Inputs'!$B$270/100</f>
        <v>0</v>
      </c>
      <c r="BP34" s="62">
        <f t="shared" si="44"/>
        <v>0</v>
      </c>
      <c r="BQ34" s="62">
        <f t="shared" si="20"/>
        <v>0</v>
      </c>
      <c r="BR34" s="62">
        <f t="shared" si="65"/>
        <v>0</v>
      </c>
      <c r="BS34" s="62">
        <f>(BR34-BR33)*'Baseline Inputs'!$B$271/100/2 + BR33 *'Baseline Inputs'!$B$271/100</f>
        <v>0</v>
      </c>
      <c r="BT34" s="62">
        <f t="shared" si="45"/>
        <v>0</v>
      </c>
      <c r="BU34" s="62">
        <f t="shared" si="21"/>
        <v>0</v>
      </c>
      <c r="BV34" s="62">
        <f t="shared" si="66"/>
        <v>0</v>
      </c>
      <c r="BW34" s="62">
        <f>(BV34-BV33)*'Baseline Inputs'!$B$272/100/2 + BV33 *'Baseline Inputs'!$B$272/100</f>
        <v>0</v>
      </c>
      <c r="BX34" s="62">
        <f t="shared" si="46"/>
        <v>0</v>
      </c>
      <c r="BY34" s="62">
        <f t="shared" si="22"/>
        <v>0</v>
      </c>
      <c r="BZ34" s="62">
        <f t="shared" si="67"/>
        <v>0</v>
      </c>
      <c r="CA34" s="62">
        <f>(BZ34-BZ33)*'Baseline Inputs'!$B$273/100/2 + BZ33 *'Baseline Inputs'!$B$273/100</f>
        <v>0</v>
      </c>
      <c r="CB34" s="62">
        <f t="shared" si="47"/>
        <v>0</v>
      </c>
      <c r="CC34" s="62">
        <f t="shared" si="23"/>
        <v>0</v>
      </c>
      <c r="CD34" s="62">
        <f t="shared" si="0"/>
        <v>51331.39</v>
      </c>
      <c r="CE34" s="62">
        <f t="shared" si="1"/>
        <v>1538.7763070000001</v>
      </c>
      <c r="CF34" s="62">
        <f t="shared" si="2"/>
        <v>28467.361679499998</v>
      </c>
      <c r="CG34" s="62">
        <f t="shared" si="3"/>
        <v>22864.028320500001</v>
      </c>
      <c r="CH34" s="62">
        <f>'CCA &amp; Cap Tax'!BL34</f>
        <v>0</v>
      </c>
      <c r="CI34" s="62">
        <f t="shared" si="24"/>
        <v>22864.028320500001</v>
      </c>
      <c r="CJ34" s="40">
        <f t="shared" si="68"/>
        <v>0.56000000000000005</v>
      </c>
      <c r="CK34" s="40">
        <f t="shared" si="68"/>
        <v>0.04</v>
      </c>
      <c r="CL34" s="62">
        <f t="shared" si="25"/>
        <v>13718.416992300003</v>
      </c>
      <c r="CM34" s="40">
        <f t="shared" si="69"/>
        <v>2.8500000000000001E-2</v>
      </c>
      <c r="CN34" s="62">
        <f t="shared" si="26"/>
        <v>390.9748842805501</v>
      </c>
    </row>
    <row r="35" spans="1:92" x14ac:dyDescent="0.2">
      <c r="A35" s="4">
        <f t="shared" si="27"/>
        <v>2041</v>
      </c>
      <c r="B35" s="62">
        <f t="shared" si="48"/>
        <v>0</v>
      </c>
      <c r="C35" s="62">
        <f>(B35-B34)*'Baseline Inputs'!$B$252/100/2 + B34 *'Baseline Inputs'!$B$252/100</f>
        <v>0</v>
      </c>
      <c r="D35" s="62">
        <f t="shared" si="28"/>
        <v>0</v>
      </c>
      <c r="E35" s="62">
        <f t="shared" si="4"/>
        <v>0</v>
      </c>
      <c r="F35" s="62">
        <f t="shared" si="49"/>
        <v>0</v>
      </c>
      <c r="G35" s="62">
        <f>(F35-F34)*'Baseline Inputs'!$B$253/100/2 + F34 *'Baseline Inputs'!$B$253/100</f>
        <v>0</v>
      </c>
      <c r="H35" s="62">
        <f t="shared" si="29"/>
        <v>0</v>
      </c>
      <c r="I35" s="62">
        <f t="shared" si="5"/>
        <v>0</v>
      </c>
      <c r="J35" s="62">
        <f t="shared" si="50"/>
        <v>0</v>
      </c>
      <c r="K35" s="62">
        <f>(J35-J34)*'Baseline Inputs'!$B$254/100/2 + J34 *'Baseline Inputs'!$B$254/100</f>
        <v>0</v>
      </c>
      <c r="L35" s="62">
        <f t="shared" si="30"/>
        <v>0</v>
      </c>
      <c r="M35" s="62">
        <f t="shared" si="6"/>
        <v>0</v>
      </c>
      <c r="N35" s="62">
        <f t="shared" si="51"/>
        <v>0</v>
      </c>
      <c r="O35" s="62">
        <f>(N35-N34)*'Baseline Inputs'!$B$255/100/2 + N34 *'Baseline Inputs'!$B$255/100</f>
        <v>0</v>
      </c>
      <c r="P35" s="62">
        <f t="shared" si="31"/>
        <v>0</v>
      </c>
      <c r="Q35" s="62">
        <f t="shared" si="7"/>
        <v>0</v>
      </c>
      <c r="R35" s="62">
        <f t="shared" si="52"/>
        <v>12218.77</v>
      </c>
      <c r="S35" s="62">
        <f>(R35-R34)*'Baseline Inputs'!$B$256/100/2 + R34 *'Baseline Inputs'!$B$256/100</f>
        <v>406.88504100000006</v>
      </c>
      <c r="T35" s="62">
        <f t="shared" si="32"/>
        <v>7934.2582995000048</v>
      </c>
      <c r="U35" s="62">
        <f t="shared" si="8"/>
        <v>4284.5117004999956</v>
      </c>
      <c r="V35" s="62">
        <f t="shared" si="53"/>
        <v>9478.81</v>
      </c>
      <c r="W35" s="62">
        <f>(V35-V34)*'Baseline Inputs'!$B$257/100/2 + V34 *'Baseline Inputs'!$B$257/100</f>
        <v>284.36430000000001</v>
      </c>
      <c r="X35" s="62">
        <f t="shared" si="33"/>
        <v>5545.1038500000022</v>
      </c>
      <c r="Y35" s="62">
        <f t="shared" si="9"/>
        <v>3933.7061499999973</v>
      </c>
      <c r="Z35" s="62">
        <f t="shared" si="54"/>
        <v>29633.81</v>
      </c>
      <c r="AA35" s="62">
        <f>(Z35-Z34)*'Baseline Inputs'!$B$258/100/2 + Z34 *'Baseline Inputs'!$B$258/100</f>
        <v>847.5269659999999</v>
      </c>
      <c r="AB35" s="62">
        <f t="shared" si="34"/>
        <v>16526.775836999994</v>
      </c>
      <c r="AC35" s="62">
        <f t="shared" si="10"/>
        <v>13107.034163000008</v>
      </c>
      <c r="AD35" s="62">
        <f t="shared" si="55"/>
        <v>0</v>
      </c>
      <c r="AE35" s="62">
        <f>(AD35-AD34)*'Baseline Inputs'!$B$259/100/2 + AD34 *'Baseline Inputs'!$B$259/100</f>
        <v>0</v>
      </c>
      <c r="AF35" s="62">
        <f t="shared" si="35"/>
        <v>0</v>
      </c>
      <c r="AG35" s="62">
        <f t="shared" si="11"/>
        <v>0</v>
      </c>
      <c r="AH35" s="62">
        <f t="shared" si="56"/>
        <v>0</v>
      </c>
      <c r="AI35" s="62">
        <f>(AH35-AH34)*'Baseline Inputs'!$B$260/100/2 + AH34 *'Baseline Inputs'!$B$260/100</f>
        <v>0</v>
      </c>
      <c r="AJ35" s="62">
        <f t="shared" si="36"/>
        <v>0</v>
      </c>
      <c r="AK35" s="62">
        <f t="shared" si="12"/>
        <v>0</v>
      </c>
      <c r="AL35" s="62">
        <f t="shared" si="57"/>
        <v>0</v>
      </c>
      <c r="AM35" s="62">
        <f>(AL35-AL34)*'Baseline Inputs'!$B$261/100/2 + AL34 *'Baseline Inputs'!$B$261/100</f>
        <v>0</v>
      </c>
      <c r="AN35" s="62">
        <f t="shared" si="37"/>
        <v>0</v>
      </c>
      <c r="AO35" s="62">
        <f t="shared" si="13"/>
        <v>0</v>
      </c>
      <c r="AP35" s="62">
        <f t="shared" si="58"/>
        <v>0</v>
      </c>
      <c r="AQ35" s="62">
        <f>(AP35-AP34)*'Baseline Inputs'!$B$264/100/2 + AP34 *'Baseline Inputs'!$B$264/100</f>
        <v>0</v>
      </c>
      <c r="AR35" s="62">
        <f t="shared" si="38"/>
        <v>0</v>
      </c>
      <c r="AS35" s="62">
        <f t="shared" si="14"/>
        <v>0</v>
      </c>
      <c r="AT35" s="62">
        <f t="shared" si="59"/>
        <v>0</v>
      </c>
      <c r="AU35" s="62">
        <f>(AT35-AT34)*'Baseline Inputs'!$B$265/100/2 + AT34 *'Baseline Inputs'!$B$265/100</f>
        <v>0</v>
      </c>
      <c r="AV35" s="62">
        <f t="shared" si="39"/>
        <v>0</v>
      </c>
      <c r="AW35" s="62">
        <f t="shared" si="15"/>
        <v>0</v>
      </c>
      <c r="AX35" s="62">
        <f t="shared" si="60"/>
        <v>0</v>
      </c>
      <c r="AY35" s="62">
        <f>(AX35-AX34)*'Baseline Inputs'!$B$266/100/2 + AX34 *'Baseline Inputs'!$B$266/100</f>
        <v>0</v>
      </c>
      <c r="AZ35" s="62">
        <f t="shared" si="40"/>
        <v>0</v>
      </c>
      <c r="BA35" s="62">
        <f t="shared" si="16"/>
        <v>0</v>
      </c>
      <c r="BB35" s="62">
        <f t="shared" si="61"/>
        <v>0</v>
      </c>
      <c r="BC35" s="62">
        <f>(BB35-BB34)*'Baseline Inputs'!$B$267/100/2 + BB34 *'Baseline Inputs'!$B$267/100</f>
        <v>0</v>
      </c>
      <c r="BD35" s="62">
        <f t="shared" si="41"/>
        <v>0</v>
      </c>
      <c r="BE35" s="62">
        <f t="shared" si="17"/>
        <v>0</v>
      </c>
      <c r="BF35" s="62">
        <f t="shared" si="62"/>
        <v>0</v>
      </c>
      <c r="BG35" s="62">
        <f>(BF35-BF34)*'Baseline Inputs'!$B$268/100/2 + BF34 *'Baseline Inputs'!$B$268/100</f>
        <v>0</v>
      </c>
      <c r="BH35" s="62">
        <f t="shared" si="42"/>
        <v>0</v>
      </c>
      <c r="BI35" s="62">
        <f t="shared" si="18"/>
        <v>0</v>
      </c>
      <c r="BJ35" s="62">
        <f t="shared" si="63"/>
        <v>0</v>
      </c>
      <c r="BK35" s="62">
        <f>(BJ35-BJ34)*'Baseline Inputs'!$B$269/100/2 + BJ34 *'Baseline Inputs'!$B$269/100</f>
        <v>0</v>
      </c>
      <c r="BL35" s="62">
        <f t="shared" si="43"/>
        <v>0</v>
      </c>
      <c r="BM35" s="62">
        <f t="shared" si="19"/>
        <v>0</v>
      </c>
      <c r="BN35" s="62">
        <f t="shared" si="64"/>
        <v>0</v>
      </c>
      <c r="BO35" s="62">
        <f>(BN35-BN34)*'Baseline Inputs'!$B$270/100/2 + BN34 *'Baseline Inputs'!$B$270/100</f>
        <v>0</v>
      </c>
      <c r="BP35" s="62">
        <f t="shared" si="44"/>
        <v>0</v>
      </c>
      <c r="BQ35" s="62">
        <f t="shared" si="20"/>
        <v>0</v>
      </c>
      <c r="BR35" s="62">
        <f t="shared" si="65"/>
        <v>0</v>
      </c>
      <c r="BS35" s="62">
        <f>(BR35-BR34)*'Baseline Inputs'!$B$271/100/2 + BR34 *'Baseline Inputs'!$B$271/100</f>
        <v>0</v>
      </c>
      <c r="BT35" s="62">
        <f t="shared" si="45"/>
        <v>0</v>
      </c>
      <c r="BU35" s="62">
        <f t="shared" si="21"/>
        <v>0</v>
      </c>
      <c r="BV35" s="62">
        <f t="shared" si="66"/>
        <v>0</v>
      </c>
      <c r="BW35" s="62">
        <f>(BV35-BV34)*'Baseline Inputs'!$B$272/100/2 + BV34 *'Baseline Inputs'!$B$272/100</f>
        <v>0</v>
      </c>
      <c r="BX35" s="62">
        <f t="shared" si="46"/>
        <v>0</v>
      </c>
      <c r="BY35" s="62">
        <f t="shared" si="22"/>
        <v>0</v>
      </c>
      <c r="BZ35" s="62">
        <f t="shared" si="67"/>
        <v>0</v>
      </c>
      <c r="CA35" s="62">
        <f>(BZ35-BZ34)*'Baseline Inputs'!$B$273/100/2 + BZ34 *'Baseline Inputs'!$B$273/100</f>
        <v>0</v>
      </c>
      <c r="CB35" s="62">
        <f t="shared" si="47"/>
        <v>0</v>
      </c>
      <c r="CC35" s="62">
        <f t="shared" si="23"/>
        <v>0</v>
      </c>
      <c r="CD35" s="62">
        <f t="shared" si="0"/>
        <v>51331.39</v>
      </c>
      <c r="CE35" s="62">
        <f t="shared" si="1"/>
        <v>1538.7763070000001</v>
      </c>
      <c r="CF35" s="62">
        <f t="shared" si="2"/>
        <v>30006.137986500002</v>
      </c>
      <c r="CG35" s="62">
        <f t="shared" si="3"/>
        <v>21325.252013500001</v>
      </c>
      <c r="CH35" s="62">
        <f>'CCA &amp; Cap Tax'!BL35</f>
        <v>0</v>
      </c>
      <c r="CI35" s="62">
        <f t="shared" si="24"/>
        <v>21325.252013500001</v>
      </c>
      <c r="CJ35" s="40">
        <f t="shared" si="68"/>
        <v>0.56000000000000005</v>
      </c>
      <c r="CK35" s="40">
        <f t="shared" si="68"/>
        <v>0.04</v>
      </c>
      <c r="CL35" s="62">
        <f t="shared" si="25"/>
        <v>12795.151208100002</v>
      </c>
      <c r="CM35" s="40">
        <f t="shared" si="69"/>
        <v>2.8500000000000001E-2</v>
      </c>
      <c r="CN35" s="62">
        <f t="shared" si="26"/>
        <v>364.66180943085004</v>
      </c>
    </row>
    <row r="36" spans="1:92" x14ac:dyDescent="0.2">
      <c r="A36" s="4">
        <f t="shared" si="27"/>
        <v>2042</v>
      </c>
      <c r="B36" s="62">
        <f t="shared" si="48"/>
        <v>0</v>
      </c>
      <c r="C36" s="62">
        <f>(B36-B35)*'Baseline Inputs'!$B$252/100/2 + B35 *'Baseline Inputs'!$B$252/100</f>
        <v>0</v>
      </c>
      <c r="D36" s="62">
        <f t="shared" si="28"/>
        <v>0</v>
      </c>
      <c r="E36" s="62">
        <f t="shared" si="4"/>
        <v>0</v>
      </c>
      <c r="F36" s="62">
        <f t="shared" si="49"/>
        <v>0</v>
      </c>
      <c r="G36" s="62">
        <f>(F36-F35)*'Baseline Inputs'!$B$253/100/2 + F35 *'Baseline Inputs'!$B$253/100</f>
        <v>0</v>
      </c>
      <c r="H36" s="62">
        <f t="shared" si="29"/>
        <v>0</v>
      </c>
      <c r="I36" s="62">
        <f t="shared" si="5"/>
        <v>0</v>
      </c>
      <c r="J36" s="62">
        <f t="shared" si="50"/>
        <v>0</v>
      </c>
      <c r="K36" s="62">
        <f>(J36-J35)*'Baseline Inputs'!$B$254/100/2 + J35 *'Baseline Inputs'!$B$254/100</f>
        <v>0</v>
      </c>
      <c r="L36" s="62">
        <f t="shared" si="30"/>
        <v>0</v>
      </c>
      <c r="M36" s="62">
        <f t="shared" si="6"/>
        <v>0</v>
      </c>
      <c r="N36" s="62">
        <f t="shared" si="51"/>
        <v>0</v>
      </c>
      <c r="O36" s="62">
        <f>(N36-N35)*'Baseline Inputs'!$B$255/100/2 + N35 *'Baseline Inputs'!$B$255/100</f>
        <v>0</v>
      </c>
      <c r="P36" s="62">
        <f t="shared" si="31"/>
        <v>0</v>
      </c>
      <c r="Q36" s="62">
        <f t="shared" si="7"/>
        <v>0</v>
      </c>
      <c r="R36" s="62">
        <f t="shared" si="52"/>
        <v>12218.77</v>
      </c>
      <c r="S36" s="62">
        <f>(R36-R35)*'Baseline Inputs'!$B$256/100/2 + R35 *'Baseline Inputs'!$B$256/100</f>
        <v>406.88504100000006</v>
      </c>
      <c r="T36" s="62">
        <f t="shared" si="32"/>
        <v>8341.1433405000043</v>
      </c>
      <c r="U36" s="62">
        <f t="shared" si="8"/>
        <v>3877.6266594999961</v>
      </c>
      <c r="V36" s="62">
        <f t="shared" si="53"/>
        <v>9478.81</v>
      </c>
      <c r="W36" s="62">
        <f>(V36-V35)*'Baseline Inputs'!$B$257/100/2 + V35 *'Baseline Inputs'!$B$257/100</f>
        <v>284.36430000000001</v>
      </c>
      <c r="X36" s="62">
        <f t="shared" si="33"/>
        <v>5829.4681500000024</v>
      </c>
      <c r="Y36" s="62">
        <f t="shared" si="9"/>
        <v>3649.3418499999971</v>
      </c>
      <c r="Z36" s="62">
        <f t="shared" si="54"/>
        <v>29633.81</v>
      </c>
      <c r="AA36" s="62">
        <f>(Z36-Z35)*'Baseline Inputs'!$B$258/100/2 + Z35 *'Baseline Inputs'!$B$258/100</f>
        <v>847.5269659999999</v>
      </c>
      <c r="AB36" s="62">
        <f t="shared" si="34"/>
        <v>17374.302802999995</v>
      </c>
      <c r="AC36" s="62">
        <f t="shared" si="10"/>
        <v>12259.507197000006</v>
      </c>
      <c r="AD36" s="62">
        <f t="shared" si="55"/>
        <v>0</v>
      </c>
      <c r="AE36" s="62">
        <f>(AD36-AD35)*'Baseline Inputs'!$B$259/100/2 + AD35 *'Baseline Inputs'!$B$259/100</f>
        <v>0</v>
      </c>
      <c r="AF36" s="62">
        <f t="shared" si="35"/>
        <v>0</v>
      </c>
      <c r="AG36" s="62">
        <f t="shared" si="11"/>
        <v>0</v>
      </c>
      <c r="AH36" s="62">
        <f t="shared" si="56"/>
        <v>0</v>
      </c>
      <c r="AI36" s="62">
        <f>(AH36-AH35)*'Baseline Inputs'!$B$260/100/2 + AH35 *'Baseline Inputs'!$B$260/100</f>
        <v>0</v>
      </c>
      <c r="AJ36" s="62">
        <f t="shared" si="36"/>
        <v>0</v>
      </c>
      <c r="AK36" s="62">
        <f t="shared" si="12"/>
        <v>0</v>
      </c>
      <c r="AL36" s="62">
        <f t="shared" si="57"/>
        <v>0</v>
      </c>
      <c r="AM36" s="62">
        <f>(AL36-AL35)*'Baseline Inputs'!$B$261/100/2 + AL35 *'Baseline Inputs'!$B$261/100</f>
        <v>0</v>
      </c>
      <c r="AN36" s="62">
        <f t="shared" si="37"/>
        <v>0</v>
      </c>
      <c r="AO36" s="62">
        <f t="shared" si="13"/>
        <v>0</v>
      </c>
      <c r="AP36" s="62">
        <f t="shared" si="58"/>
        <v>0</v>
      </c>
      <c r="AQ36" s="62">
        <f>(AP36-AP35)*'Baseline Inputs'!$B$264/100/2 + AP35 *'Baseline Inputs'!$B$264/100</f>
        <v>0</v>
      </c>
      <c r="AR36" s="62">
        <f t="shared" si="38"/>
        <v>0</v>
      </c>
      <c r="AS36" s="62">
        <f t="shared" si="14"/>
        <v>0</v>
      </c>
      <c r="AT36" s="62">
        <f t="shared" si="59"/>
        <v>0</v>
      </c>
      <c r="AU36" s="62">
        <f>(AT36-AT35)*'Baseline Inputs'!$B$265/100/2 + AT35 *'Baseline Inputs'!$B$265/100</f>
        <v>0</v>
      </c>
      <c r="AV36" s="62">
        <f t="shared" si="39"/>
        <v>0</v>
      </c>
      <c r="AW36" s="62">
        <f t="shared" si="15"/>
        <v>0</v>
      </c>
      <c r="AX36" s="62">
        <f t="shared" si="60"/>
        <v>0</v>
      </c>
      <c r="AY36" s="62">
        <f>(AX36-AX35)*'Baseline Inputs'!$B$266/100/2 + AX35 *'Baseline Inputs'!$B$266/100</f>
        <v>0</v>
      </c>
      <c r="AZ36" s="62">
        <f t="shared" si="40"/>
        <v>0</v>
      </c>
      <c r="BA36" s="62">
        <f t="shared" si="16"/>
        <v>0</v>
      </c>
      <c r="BB36" s="62">
        <f t="shared" si="61"/>
        <v>0</v>
      </c>
      <c r="BC36" s="62">
        <f>(BB36-BB35)*'Baseline Inputs'!$B$267/100/2 + BB35 *'Baseline Inputs'!$B$267/100</f>
        <v>0</v>
      </c>
      <c r="BD36" s="62">
        <f t="shared" si="41"/>
        <v>0</v>
      </c>
      <c r="BE36" s="62">
        <f t="shared" si="17"/>
        <v>0</v>
      </c>
      <c r="BF36" s="62">
        <f t="shared" si="62"/>
        <v>0</v>
      </c>
      <c r="BG36" s="62">
        <f>(BF36-BF35)*'Baseline Inputs'!$B$268/100/2 + BF35 *'Baseline Inputs'!$B$268/100</f>
        <v>0</v>
      </c>
      <c r="BH36" s="62">
        <f t="shared" si="42"/>
        <v>0</v>
      </c>
      <c r="BI36" s="62">
        <f t="shared" si="18"/>
        <v>0</v>
      </c>
      <c r="BJ36" s="62">
        <f t="shared" si="63"/>
        <v>0</v>
      </c>
      <c r="BK36" s="62">
        <f>(BJ36-BJ35)*'Baseline Inputs'!$B$269/100/2 + BJ35 *'Baseline Inputs'!$B$269/100</f>
        <v>0</v>
      </c>
      <c r="BL36" s="62">
        <f t="shared" si="43"/>
        <v>0</v>
      </c>
      <c r="BM36" s="62">
        <f t="shared" si="19"/>
        <v>0</v>
      </c>
      <c r="BN36" s="62">
        <f t="shared" si="64"/>
        <v>0</v>
      </c>
      <c r="BO36" s="62">
        <f>(BN36-BN35)*'Baseline Inputs'!$B$270/100/2 + BN35 *'Baseline Inputs'!$B$270/100</f>
        <v>0</v>
      </c>
      <c r="BP36" s="62">
        <f t="shared" si="44"/>
        <v>0</v>
      </c>
      <c r="BQ36" s="62">
        <f t="shared" si="20"/>
        <v>0</v>
      </c>
      <c r="BR36" s="62">
        <f t="shared" si="65"/>
        <v>0</v>
      </c>
      <c r="BS36" s="62">
        <f>(BR36-BR35)*'Baseline Inputs'!$B$271/100/2 + BR35 *'Baseline Inputs'!$B$271/100</f>
        <v>0</v>
      </c>
      <c r="BT36" s="62">
        <f t="shared" si="45"/>
        <v>0</v>
      </c>
      <c r="BU36" s="62">
        <f t="shared" si="21"/>
        <v>0</v>
      </c>
      <c r="BV36" s="62">
        <f t="shared" si="66"/>
        <v>0</v>
      </c>
      <c r="BW36" s="62">
        <f>(BV36-BV35)*'Baseline Inputs'!$B$272/100/2 + BV35 *'Baseline Inputs'!$B$272/100</f>
        <v>0</v>
      </c>
      <c r="BX36" s="62">
        <f t="shared" si="46"/>
        <v>0</v>
      </c>
      <c r="BY36" s="62">
        <f t="shared" si="22"/>
        <v>0</v>
      </c>
      <c r="BZ36" s="62">
        <f t="shared" si="67"/>
        <v>0</v>
      </c>
      <c r="CA36" s="62">
        <f>(BZ36-BZ35)*'Baseline Inputs'!$B$273/100/2 + BZ35 *'Baseline Inputs'!$B$273/100</f>
        <v>0</v>
      </c>
      <c r="CB36" s="62">
        <f t="shared" si="47"/>
        <v>0</v>
      </c>
      <c r="CC36" s="62">
        <f t="shared" si="23"/>
        <v>0</v>
      </c>
      <c r="CD36" s="62">
        <f t="shared" si="0"/>
        <v>51331.39</v>
      </c>
      <c r="CE36" s="62">
        <f t="shared" si="1"/>
        <v>1538.7763070000001</v>
      </c>
      <c r="CF36" s="62">
        <f t="shared" si="2"/>
        <v>31544.914293500002</v>
      </c>
      <c r="CG36" s="62">
        <f t="shared" si="3"/>
        <v>19786.475706500001</v>
      </c>
      <c r="CH36" s="62">
        <f>'CCA &amp; Cap Tax'!BL36</f>
        <v>0</v>
      </c>
      <c r="CI36" s="62">
        <f t="shared" si="24"/>
        <v>19786.475706500001</v>
      </c>
      <c r="CJ36" s="40">
        <f t="shared" si="68"/>
        <v>0.56000000000000005</v>
      </c>
      <c r="CK36" s="40">
        <f t="shared" si="68"/>
        <v>0.04</v>
      </c>
      <c r="CL36" s="62">
        <f t="shared" si="25"/>
        <v>11871.885423900003</v>
      </c>
      <c r="CM36" s="40">
        <f t="shared" si="69"/>
        <v>2.8500000000000001E-2</v>
      </c>
      <c r="CN36" s="62">
        <f t="shared" si="26"/>
        <v>338.3487345811501</v>
      </c>
    </row>
    <row r="37" spans="1:92" x14ac:dyDescent="0.2">
      <c r="A37" s="4">
        <f t="shared" si="27"/>
        <v>2043</v>
      </c>
      <c r="B37" s="62">
        <f t="shared" si="48"/>
        <v>0</v>
      </c>
      <c r="C37" s="62">
        <f>(B37-B36)*'Baseline Inputs'!$B$252/100/2 + B36 *'Baseline Inputs'!$B$252/100</f>
        <v>0</v>
      </c>
      <c r="D37" s="62">
        <f t="shared" si="28"/>
        <v>0</v>
      </c>
      <c r="E37" s="62">
        <f t="shared" si="4"/>
        <v>0</v>
      </c>
      <c r="F37" s="62">
        <f t="shared" si="49"/>
        <v>0</v>
      </c>
      <c r="G37" s="62">
        <f>(F37-F36)*'Baseline Inputs'!$B$253/100/2 + F36 *'Baseline Inputs'!$B$253/100</f>
        <v>0</v>
      </c>
      <c r="H37" s="62">
        <f t="shared" si="29"/>
        <v>0</v>
      </c>
      <c r="I37" s="62">
        <f t="shared" si="5"/>
        <v>0</v>
      </c>
      <c r="J37" s="62">
        <f t="shared" si="50"/>
        <v>0</v>
      </c>
      <c r="K37" s="62">
        <f>(J37-J36)*'Baseline Inputs'!$B$254/100/2 + J36 *'Baseline Inputs'!$B$254/100</f>
        <v>0</v>
      </c>
      <c r="L37" s="62">
        <f t="shared" si="30"/>
        <v>0</v>
      </c>
      <c r="M37" s="62">
        <f t="shared" si="6"/>
        <v>0</v>
      </c>
      <c r="N37" s="62">
        <f t="shared" si="51"/>
        <v>0</v>
      </c>
      <c r="O37" s="62">
        <f>(N37-N36)*'Baseline Inputs'!$B$255/100/2 + N36 *'Baseline Inputs'!$B$255/100</f>
        <v>0</v>
      </c>
      <c r="P37" s="62">
        <f t="shared" si="31"/>
        <v>0</v>
      </c>
      <c r="Q37" s="62">
        <f t="shared" si="7"/>
        <v>0</v>
      </c>
      <c r="R37" s="62">
        <f t="shared" si="52"/>
        <v>12218.77</v>
      </c>
      <c r="S37" s="62">
        <f>(R37-R36)*'Baseline Inputs'!$B$256/100/2 + R36 *'Baseline Inputs'!$B$256/100</f>
        <v>406.88504100000006</v>
      </c>
      <c r="T37" s="62">
        <f t="shared" si="32"/>
        <v>8748.0283815000039</v>
      </c>
      <c r="U37" s="62">
        <f t="shared" si="8"/>
        <v>3470.7416184999965</v>
      </c>
      <c r="V37" s="62">
        <f t="shared" si="53"/>
        <v>9478.81</v>
      </c>
      <c r="W37" s="62">
        <f>(V37-V36)*'Baseline Inputs'!$B$257/100/2 + V36 *'Baseline Inputs'!$B$257/100</f>
        <v>284.36430000000001</v>
      </c>
      <c r="X37" s="62">
        <f t="shared" si="33"/>
        <v>6113.8324500000026</v>
      </c>
      <c r="Y37" s="62">
        <f t="shared" si="9"/>
        <v>3364.9775499999969</v>
      </c>
      <c r="Z37" s="62">
        <f t="shared" si="54"/>
        <v>29633.81</v>
      </c>
      <c r="AA37" s="62">
        <f>(Z37-Z36)*'Baseline Inputs'!$B$258/100/2 + Z36 *'Baseline Inputs'!$B$258/100</f>
        <v>847.5269659999999</v>
      </c>
      <c r="AB37" s="62">
        <f t="shared" si="34"/>
        <v>18221.829768999996</v>
      </c>
      <c r="AC37" s="62">
        <f t="shared" si="10"/>
        <v>11411.980231000005</v>
      </c>
      <c r="AD37" s="62">
        <f t="shared" si="55"/>
        <v>0</v>
      </c>
      <c r="AE37" s="62">
        <f>(AD37-AD36)*'Baseline Inputs'!$B$259/100/2 + AD36 *'Baseline Inputs'!$B$259/100</f>
        <v>0</v>
      </c>
      <c r="AF37" s="62">
        <f t="shared" si="35"/>
        <v>0</v>
      </c>
      <c r="AG37" s="62">
        <f t="shared" si="11"/>
        <v>0</v>
      </c>
      <c r="AH37" s="62">
        <f t="shared" si="56"/>
        <v>0</v>
      </c>
      <c r="AI37" s="62">
        <f>(AH37-AH36)*'Baseline Inputs'!$B$260/100/2 + AH36 *'Baseline Inputs'!$B$260/100</f>
        <v>0</v>
      </c>
      <c r="AJ37" s="62">
        <f t="shared" si="36"/>
        <v>0</v>
      </c>
      <c r="AK37" s="62">
        <f t="shared" si="12"/>
        <v>0</v>
      </c>
      <c r="AL37" s="62">
        <f t="shared" si="57"/>
        <v>0</v>
      </c>
      <c r="AM37" s="62">
        <f>(AL37-AL36)*'Baseline Inputs'!$B$261/100/2 + AL36 *'Baseline Inputs'!$B$261/100</f>
        <v>0</v>
      </c>
      <c r="AN37" s="62">
        <f t="shared" si="37"/>
        <v>0</v>
      </c>
      <c r="AO37" s="62">
        <f t="shared" si="13"/>
        <v>0</v>
      </c>
      <c r="AP37" s="62">
        <f t="shared" si="58"/>
        <v>0</v>
      </c>
      <c r="AQ37" s="62">
        <f>(AP37-AP36)*'Baseline Inputs'!$B$264/100/2 + AP36 *'Baseline Inputs'!$B$264/100</f>
        <v>0</v>
      </c>
      <c r="AR37" s="62">
        <f t="shared" si="38"/>
        <v>0</v>
      </c>
      <c r="AS37" s="62">
        <f t="shared" si="14"/>
        <v>0</v>
      </c>
      <c r="AT37" s="62">
        <f t="shared" si="59"/>
        <v>0</v>
      </c>
      <c r="AU37" s="62">
        <f>(AT37-AT36)*'Baseline Inputs'!$B$265/100/2 + AT36 *'Baseline Inputs'!$B$265/100</f>
        <v>0</v>
      </c>
      <c r="AV37" s="62">
        <f t="shared" si="39"/>
        <v>0</v>
      </c>
      <c r="AW37" s="62">
        <f t="shared" si="15"/>
        <v>0</v>
      </c>
      <c r="AX37" s="62">
        <f t="shared" si="60"/>
        <v>0</v>
      </c>
      <c r="AY37" s="62">
        <f>(AX37-AX36)*'Baseline Inputs'!$B$266/100/2 + AX36 *'Baseline Inputs'!$B$266/100</f>
        <v>0</v>
      </c>
      <c r="AZ37" s="62">
        <f t="shared" si="40"/>
        <v>0</v>
      </c>
      <c r="BA37" s="62">
        <f t="shared" si="16"/>
        <v>0</v>
      </c>
      <c r="BB37" s="62">
        <f t="shared" si="61"/>
        <v>0</v>
      </c>
      <c r="BC37" s="62">
        <f>(BB37-BB36)*'Baseline Inputs'!$B$267/100/2 + BB36 *'Baseline Inputs'!$B$267/100</f>
        <v>0</v>
      </c>
      <c r="BD37" s="62">
        <f t="shared" si="41"/>
        <v>0</v>
      </c>
      <c r="BE37" s="62">
        <f t="shared" si="17"/>
        <v>0</v>
      </c>
      <c r="BF37" s="62">
        <f t="shared" si="62"/>
        <v>0</v>
      </c>
      <c r="BG37" s="62">
        <f>(BF37-BF36)*'Baseline Inputs'!$B$268/100/2 + BF36 *'Baseline Inputs'!$B$268/100</f>
        <v>0</v>
      </c>
      <c r="BH37" s="62">
        <f t="shared" si="42"/>
        <v>0</v>
      </c>
      <c r="BI37" s="62">
        <f t="shared" si="18"/>
        <v>0</v>
      </c>
      <c r="BJ37" s="62">
        <f t="shared" si="63"/>
        <v>0</v>
      </c>
      <c r="BK37" s="62">
        <f>(BJ37-BJ36)*'Baseline Inputs'!$B$269/100/2 + BJ36 *'Baseline Inputs'!$B$269/100</f>
        <v>0</v>
      </c>
      <c r="BL37" s="62">
        <f t="shared" si="43"/>
        <v>0</v>
      </c>
      <c r="BM37" s="62">
        <f t="shared" si="19"/>
        <v>0</v>
      </c>
      <c r="BN37" s="62">
        <f t="shared" si="64"/>
        <v>0</v>
      </c>
      <c r="BO37" s="62">
        <f>(BN37-BN36)*'Baseline Inputs'!$B$270/100/2 + BN36 *'Baseline Inputs'!$B$270/100</f>
        <v>0</v>
      </c>
      <c r="BP37" s="62">
        <f t="shared" si="44"/>
        <v>0</v>
      </c>
      <c r="BQ37" s="62">
        <f t="shared" si="20"/>
        <v>0</v>
      </c>
      <c r="BR37" s="62">
        <f t="shared" si="65"/>
        <v>0</v>
      </c>
      <c r="BS37" s="62">
        <f>(BR37-BR36)*'Baseline Inputs'!$B$271/100/2 + BR36 *'Baseline Inputs'!$B$271/100</f>
        <v>0</v>
      </c>
      <c r="BT37" s="62">
        <f t="shared" si="45"/>
        <v>0</v>
      </c>
      <c r="BU37" s="62">
        <f t="shared" si="21"/>
        <v>0</v>
      </c>
      <c r="BV37" s="62">
        <f t="shared" si="66"/>
        <v>0</v>
      </c>
      <c r="BW37" s="62">
        <f>(BV37-BV36)*'Baseline Inputs'!$B$272/100/2 + BV36 *'Baseline Inputs'!$B$272/100</f>
        <v>0</v>
      </c>
      <c r="BX37" s="62">
        <f t="shared" si="46"/>
        <v>0</v>
      </c>
      <c r="BY37" s="62">
        <f t="shared" si="22"/>
        <v>0</v>
      </c>
      <c r="BZ37" s="62">
        <f t="shared" si="67"/>
        <v>0</v>
      </c>
      <c r="CA37" s="62">
        <f>(BZ37-BZ36)*'Baseline Inputs'!$B$273/100/2 + BZ36 *'Baseline Inputs'!$B$273/100</f>
        <v>0</v>
      </c>
      <c r="CB37" s="62">
        <f t="shared" si="47"/>
        <v>0</v>
      </c>
      <c r="CC37" s="62">
        <f t="shared" si="23"/>
        <v>0</v>
      </c>
      <c r="CD37" s="62">
        <f t="shared" si="0"/>
        <v>51331.39</v>
      </c>
      <c r="CE37" s="62">
        <f t="shared" si="1"/>
        <v>1538.7763070000001</v>
      </c>
      <c r="CF37" s="62">
        <f t="shared" si="2"/>
        <v>33083.690600500006</v>
      </c>
      <c r="CG37" s="62">
        <f t="shared" si="3"/>
        <v>18247.699399499998</v>
      </c>
      <c r="CH37" s="62">
        <f>'CCA &amp; Cap Tax'!BL37</f>
        <v>0</v>
      </c>
      <c r="CI37" s="62">
        <f t="shared" si="24"/>
        <v>18247.699399499998</v>
      </c>
      <c r="CJ37" s="40">
        <f t="shared" si="68"/>
        <v>0.56000000000000005</v>
      </c>
      <c r="CK37" s="40">
        <f t="shared" si="68"/>
        <v>0.04</v>
      </c>
      <c r="CL37" s="62">
        <f t="shared" si="25"/>
        <v>10948.6196397</v>
      </c>
      <c r="CM37" s="40">
        <f t="shared" si="69"/>
        <v>2.8500000000000001E-2</v>
      </c>
      <c r="CN37" s="62">
        <f t="shared" si="26"/>
        <v>312.03565973145004</v>
      </c>
    </row>
    <row r="38" spans="1:92" x14ac:dyDescent="0.2">
      <c r="A38" s="4">
        <f t="shared" si="27"/>
        <v>2044</v>
      </c>
      <c r="B38" s="62">
        <f t="shared" si="48"/>
        <v>0</v>
      </c>
      <c r="C38" s="62">
        <f>(B38-B37)*'Baseline Inputs'!$B$252/100/2 + B37 *'Baseline Inputs'!$B$252/100</f>
        <v>0</v>
      </c>
      <c r="D38" s="62">
        <f t="shared" si="28"/>
        <v>0</v>
      </c>
      <c r="E38" s="62">
        <f t="shared" si="4"/>
        <v>0</v>
      </c>
      <c r="F38" s="62">
        <f t="shared" si="49"/>
        <v>0</v>
      </c>
      <c r="G38" s="62">
        <f>(F38-F37)*'Baseline Inputs'!$B$253/100/2 + F37 *'Baseline Inputs'!$B$253/100</f>
        <v>0</v>
      </c>
      <c r="H38" s="62">
        <f t="shared" si="29"/>
        <v>0</v>
      </c>
      <c r="I38" s="62">
        <f t="shared" si="5"/>
        <v>0</v>
      </c>
      <c r="J38" s="62">
        <f t="shared" si="50"/>
        <v>0</v>
      </c>
      <c r="K38" s="62">
        <f>(J38-J37)*'Baseline Inputs'!$B$254/100/2 + J37 *'Baseline Inputs'!$B$254/100</f>
        <v>0</v>
      </c>
      <c r="L38" s="62">
        <f t="shared" si="30"/>
        <v>0</v>
      </c>
      <c r="M38" s="62">
        <f t="shared" si="6"/>
        <v>0</v>
      </c>
      <c r="N38" s="62">
        <f t="shared" si="51"/>
        <v>0</v>
      </c>
      <c r="O38" s="62">
        <f>(N38-N37)*'Baseline Inputs'!$B$255/100/2 + N37 *'Baseline Inputs'!$B$255/100</f>
        <v>0</v>
      </c>
      <c r="P38" s="62">
        <f t="shared" si="31"/>
        <v>0</v>
      </c>
      <c r="Q38" s="62">
        <f t="shared" si="7"/>
        <v>0</v>
      </c>
      <c r="R38" s="62">
        <f t="shared" si="52"/>
        <v>12218.77</v>
      </c>
      <c r="S38" s="62">
        <f>(R38-R37)*'Baseline Inputs'!$B$256/100/2 + R37 *'Baseline Inputs'!$B$256/100</f>
        <v>406.88504100000006</v>
      </c>
      <c r="T38" s="62">
        <f t="shared" si="32"/>
        <v>9154.9134225000034</v>
      </c>
      <c r="U38" s="62">
        <f t="shared" si="8"/>
        <v>3063.856577499997</v>
      </c>
      <c r="V38" s="62">
        <f t="shared" si="53"/>
        <v>9478.81</v>
      </c>
      <c r="W38" s="62">
        <f>(V38-V37)*'Baseline Inputs'!$B$257/100/2 + V37 *'Baseline Inputs'!$B$257/100</f>
        <v>284.36430000000001</v>
      </c>
      <c r="X38" s="62">
        <f t="shared" si="33"/>
        <v>6398.1967500000028</v>
      </c>
      <c r="Y38" s="62">
        <f t="shared" si="9"/>
        <v>3080.6132499999967</v>
      </c>
      <c r="Z38" s="62">
        <f t="shared" si="54"/>
        <v>29633.81</v>
      </c>
      <c r="AA38" s="62">
        <f>(Z38-Z37)*'Baseline Inputs'!$B$258/100/2 + Z37 *'Baseline Inputs'!$B$258/100</f>
        <v>847.5269659999999</v>
      </c>
      <c r="AB38" s="62">
        <f t="shared" si="34"/>
        <v>19069.356734999998</v>
      </c>
      <c r="AC38" s="62">
        <f t="shared" si="10"/>
        <v>10564.453265000004</v>
      </c>
      <c r="AD38" s="62">
        <f t="shared" si="55"/>
        <v>0</v>
      </c>
      <c r="AE38" s="62">
        <f>(AD38-AD37)*'Baseline Inputs'!$B$259/100/2 + AD37 *'Baseline Inputs'!$B$259/100</f>
        <v>0</v>
      </c>
      <c r="AF38" s="62">
        <f t="shared" si="35"/>
        <v>0</v>
      </c>
      <c r="AG38" s="62">
        <f t="shared" si="11"/>
        <v>0</v>
      </c>
      <c r="AH38" s="62">
        <f t="shared" si="56"/>
        <v>0</v>
      </c>
      <c r="AI38" s="62">
        <f>(AH38-AH37)*'Baseline Inputs'!$B$260/100/2 + AH37 *'Baseline Inputs'!$B$260/100</f>
        <v>0</v>
      </c>
      <c r="AJ38" s="62">
        <f t="shared" si="36"/>
        <v>0</v>
      </c>
      <c r="AK38" s="62">
        <f t="shared" si="12"/>
        <v>0</v>
      </c>
      <c r="AL38" s="62">
        <f t="shared" si="57"/>
        <v>0</v>
      </c>
      <c r="AM38" s="62">
        <f>(AL38-AL37)*'Baseline Inputs'!$B$261/100/2 + AL37 *'Baseline Inputs'!$B$261/100</f>
        <v>0</v>
      </c>
      <c r="AN38" s="62">
        <f t="shared" si="37"/>
        <v>0</v>
      </c>
      <c r="AO38" s="62">
        <f t="shared" si="13"/>
        <v>0</v>
      </c>
      <c r="AP38" s="62">
        <f t="shared" si="58"/>
        <v>0</v>
      </c>
      <c r="AQ38" s="62">
        <f>(AP38-AP37)*'Baseline Inputs'!$B$264/100/2 + AP37 *'Baseline Inputs'!$B$264/100</f>
        <v>0</v>
      </c>
      <c r="AR38" s="62">
        <f t="shared" si="38"/>
        <v>0</v>
      </c>
      <c r="AS38" s="62">
        <f t="shared" si="14"/>
        <v>0</v>
      </c>
      <c r="AT38" s="62">
        <f t="shared" si="59"/>
        <v>0</v>
      </c>
      <c r="AU38" s="62">
        <f>(AT38-AT37)*'Baseline Inputs'!$B$265/100/2 + AT37 *'Baseline Inputs'!$B$265/100</f>
        <v>0</v>
      </c>
      <c r="AV38" s="62">
        <f t="shared" si="39"/>
        <v>0</v>
      </c>
      <c r="AW38" s="62">
        <f t="shared" si="15"/>
        <v>0</v>
      </c>
      <c r="AX38" s="62">
        <f t="shared" si="60"/>
        <v>0</v>
      </c>
      <c r="AY38" s="62">
        <f>(AX38-AX37)*'Baseline Inputs'!$B$266/100/2 + AX37 *'Baseline Inputs'!$B$266/100</f>
        <v>0</v>
      </c>
      <c r="AZ38" s="62">
        <f t="shared" si="40"/>
        <v>0</v>
      </c>
      <c r="BA38" s="62">
        <f t="shared" si="16"/>
        <v>0</v>
      </c>
      <c r="BB38" s="62">
        <f t="shared" si="61"/>
        <v>0</v>
      </c>
      <c r="BC38" s="62">
        <f>(BB38-BB37)*'Baseline Inputs'!$B$267/100/2 + BB37 *'Baseline Inputs'!$B$267/100</f>
        <v>0</v>
      </c>
      <c r="BD38" s="62">
        <f t="shared" si="41"/>
        <v>0</v>
      </c>
      <c r="BE38" s="62">
        <f t="shared" si="17"/>
        <v>0</v>
      </c>
      <c r="BF38" s="62">
        <f t="shared" si="62"/>
        <v>0</v>
      </c>
      <c r="BG38" s="62">
        <f>(BF38-BF37)*'Baseline Inputs'!$B$268/100/2 + BF37 *'Baseline Inputs'!$B$268/100</f>
        <v>0</v>
      </c>
      <c r="BH38" s="62">
        <f t="shared" si="42"/>
        <v>0</v>
      </c>
      <c r="BI38" s="62">
        <f t="shared" si="18"/>
        <v>0</v>
      </c>
      <c r="BJ38" s="62">
        <f t="shared" si="63"/>
        <v>0</v>
      </c>
      <c r="BK38" s="62">
        <f>(BJ38-BJ37)*'Baseline Inputs'!$B$269/100/2 + BJ37 *'Baseline Inputs'!$B$269/100</f>
        <v>0</v>
      </c>
      <c r="BL38" s="62">
        <f t="shared" si="43"/>
        <v>0</v>
      </c>
      <c r="BM38" s="62">
        <f t="shared" si="19"/>
        <v>0</v>
      </c>
      <c r="BN38" s="62">
        <f t="shared" si="64"/>
        <v>0</v>
      </c>
      <c r="BO38" s="62">
        <f>(BN38-BN37)*'Baseline Inputs'!$B$270/100/2 + BN37 *'Baseline Inputs'!$B$270/100</f>
        <v>0</v>
      </c>
      <c r="BP38" s="62">
        <f t="shared" si="44"/>
        <v>0</v>
      </c>
      <c r="BQ38" s="62">
        <f t="shared" si="20"/>
        <v>0</v>
      </c>
      <c r="BR38" s="62">
        <f t="shared" si="65"/>
        <v>0</v>
      </c>
      <c r="BS38" s="62">
        <f>(BR38-BR37)*'Baseline Inputs'!$B$271/100/2 + BR37 *'Baseline Inputs'!$B$271/100</f>
        <v>0</v>
      </c>
      <c r="BT38" s="62">
        <f t="shared" si="45"/>
        <v>0</v>
      </c>
      <c r="BU38" s="62">
        <f t="shared" si="21"/>
        <v>0</v>
      </c>
      <c r="BV38" s="62">
        <f t="shared" si="66"/>
        <v>0</v>
      </c>
      <c r="BW38" s="62">
        <f>(BV38-BV37)*'Baseline Inputs'!$B$272/100/2 + BV37 *'Baseline Inputs'!$B$272/100</f>
        <v>0</v>
      </c>
      <c r="BX38" s="62">
        <f t="shared" si="46"/>
        <v>0</v>
      </c>
      <c r="BY38" s="62">
        <f t="shared" si="22"/>
        <v>0</v>
      </c>
      <c r="BZ38" s="62">
        <f t="shared" si="67"/>
        <v>0</v>
      </c>
      <c r="CA38" s="62">
        <f>(BZ38-BZ37)*'Baseline Inputs'!$B$273/100/2 + BZ37 *'Baseline Inputs'!$B$273/100</f>
        <v>0</v>
      </c>
      <c r="CB38" s="62">
        <f t="shared" si="47"/>
        <v>0</v>
      </c>
      <c r="CC38" s="62">
        <f t="shared" si="23"/>
        <v>0</v>
      </c>
      <c r="CD38" s="62">
        <f t="shared" si="0"/>
        <v>51331.39</v>
      </c>
      <c r="CE38" s="62">
        <f t="shared" si="1"/>
        <v>1538.7763070000001</v>
      </c>
      <c r="CF38" s="62">
        <f t="shared" si="2"/>
        <v>34622.466907500006</v>
      </c>
      <c r="CG38" s="62">
        <f t="shared" si="3"/>
        <v>16708.923092499997</v>
      </c>
      <c r="CH38" s="62">
        <f>'CCA &amp; Cap Tax'!BL38</f>
        <v>0</v>
      </c>
      <c r="CI38" s="62">
        <f t="shared" si="24"/>
        <v>16708.923092499997</v>
      </c>
      <c r="CJ38" s="40">
        <f t="shared" si="68"/>
        <v>0.56000000000000005</v>
      </c>
      <c r="CK38" s="40">
        <f t="shared" si="68"/>
        <v>0.04</v>
      </c>
      <c r="CL38" s="62">
        <f t="shared" si="25"/>
        <v>10025.3538555</v>
      </c>
      <c r="CM38" s="40">
        <f t="shared" si="69"/>
        <v>2.8500000000000001E-2</v>
      </c>
      <c r="CN38" s="62">
        <f t="shared" si="26"/>
        <v>285.72258488174998</v>
      </c>
    </row>
    <row r="39" spans="1:92" x14ac:dyDescent="0.2">
      <c r="A39" s="4">
        <f t="shared" si="27"/>
        <v>2045</v>
      </c>
      <c r="B39" s="62">
        <f t="shared" si="48"/>
        <v>0</v>
      </c>
      <c r="C39" s="62">
        <f>(B39-B38)*'Baseline Inputs'!$B$252/100/2 + B38 *'Baseline Inputs'!$B$252/100</f>
        <v>0</v>
      </c>
      <c r="D39" s="62">
        <f t="shared" si="28"/>
        <v>0</v>
      </c>
      <c r="E39" s="62">
        <f t="shared" si="4"/>
        <v>0</v>
      </c>
      <c r="F39" s="62">
        <f t="shared" si="49"/>
        <v>0</v>
      </c>
      <c r="G39" s="62">
        <f>(F39-F38)*'Baseline Inputs'!$B$253/100/2 + F38 *'Baseline Inputs'!$B$253/100</f>
        <v>0</v>
      </c>
      <c r="H39" s="62">
        <f t="shared" si="29"/>
        <v>0</v>
      </c>
      <c r="I39" s="62">
        <f t="shared" si="5"/>
        <v>0</v>
      </c>
      <c r="J39" s="62">
        <f t="shared" si="50"/>
        <v>0</v>
      </c>
      <c r="K39" s="62">
        <f>(J39-J38)*'Baseline Inputs'!$B$254/100/2 + J38 *'Baseline Inputs'!$B$254/100</f>
        <v>0</v>
      </c>
      <c r="L39" s="62">
        <f t="shared" si="30"/>
        <v>0</v>
      </c>
      <c r="M39" s="62">
        <f t="shared" si="6"/>
        <v>0</v>
      </c>
      <c r="N39" s="62">
        <f t="shared" si="51"/>
        <v>0</v>
      </c>
      <c r="O39" s="62">
        <f>(N39-N38)*'Baseline Inputs'!$B$255/100/2 + N38 *'Baseline Inputs'!$B$255/100</f>
        <v>0</v>
      </c>
      <c r="P39" s="62">
        <f t="shared" si="31"/>
        <v>0</v>
      </c>
      <c r="Q39" s="62">
        <f t="shared" si="7"/>
        <v>0</v>
      </c>
      <c r="R39" s="62">
        <f t="shared" si="52"/>
        <v>12218.77</v>
      </c>
      <c r="S39" s="62">
        <f>(R39-R38)*'Baseline Inputs'!$B$256/100/2 + R38 *'Baseline Inputs'!$B$256/100</f>
        <v>406.88504100000006</v>
      </c>
      <c r="T39" s="62">
        <f t="shared" si="32"/>
        <v>9561.798463500003</v>
      </c>
      <c r="U39" s="62">
        <f t="shared" si="8"/>
        <v>2656.9715364999975</v>
      </c>
      <c r="V39" s="62">
        <f t="shared" si="53"/>
        <v>9478.81</v>
      </c>
      <c r="W39" s="62">
        <f>(V39-V38)*'Baseline Inputs'!$B$257/100/2 + V38 *'Baseline Inputs'!$B$257/100</f>
        <v>284.36430000000001</v>
      </c>
      <c r="X39" s="62">
        <f t="shared" si="33"/>
        <v>6682.561050000003</v>
      </c>
      <c r="Y39" s="62">
        <f t="shared" si="9"/>
        <v>2796.2489499999965</v>
      </c>
      <c r="Z39" s="62">
        <f t="shared" si="54"/>
        <v>29633.81</v>
      </c>
      <c r="AA39" s="62">
        <f>(Z39-Z38)*'Baseline Inputs'!$B$258/100/2 + Z38 *'Baseline Inputs'!$B$258/100</f>
        <v>847.5269659999999</v>
      </c>
      <c r="AB39" s="62">
        <f t="shared" si="34"/>
        <v>19916.883700999999</v>
      </c>
      <c r="AC39" s="62">
        <f t="shared" si="10"/>
        <v>9716.9262990000025</v>
      </c>
      <c r="AD39" s="62">
        <f t="shared" si="55"/>
        <v>0</v>
      </c>
      <c r="AE39" s="62">
        <f>(AD39-AD38)*'Baseline Inputs'!$B$259/100/2 + AD38 *'Baseline Inputs'!$B$259/100</f>
        <v>0</v>
      </c>
      <c r="AF39" s="62">
        <f t="shared" si="35"/>
        <v>0</v>
      </c>
      <c r="AG39" s="62">
        <f t="shared" si="11"/>
        <v>0</v>
      </c>
      <c r="AH39" s="62">
        <f t="shared" si="56"/>
        <v>0</v>
      </c>
      <c r="AI39" s="62">
        <f>(AH39-AH38)*'Baseline Inputs'!$B$260/100/2 + AH38 *'Baseline Inputs'!$B$260/100</f>
        <v>0</v>
      </c>
      <c r="AJ39" s="62">
        <f t="shared" si="36"/>
        <v>0</v>
      </c>
      <c r="AK39" s="62">
        <f t="shared" si="12"/>
        <v>0</v>
      </c>
      <c r="AL39" s="62">
        <f t="shared" si="57"/>
        <v>0</v>
      </c>
      <c r="AM39" s="62">
        <f>(AL39-AL38)*'Baseline Inputs'!$B$261/100/2 + AL38 *'Baseline Inputs'!$B$261/100</f>
        <v>0</v>
      </c>
      <c r="AN39" s="62">
        <f t="shared" si="37"/>
        <v>0</v>
      </c>
      <c r="AO39" s="62">
        <f t="shared" si="13"/>
        <v>0</v>
      </c>
      <c r="AP39" s="62">
        <f t="shared" si="58"/>
        <v>0</v>
      </c>
      <c r="AQ39" s="62">
        <f>(AP39-AP38)*'Baseline Inputs'!$B$264/100/2 + AP38 *'Baseline Inputs'!$B$264/100</f>
        <v>0</v>
      </c>
      <c r="AR39" s="62">
        <f t="shared" si="38"/>
        <v>0</v>
      </c>
      <c r="AS39" s="62">
        <f t="shared" si="14"/>
        <v>0</v>
      </c>
      <c r="AT39" s="62">
        <f t="shared" si="59"/>
        <v>0</v>
      </c>
      <c r="AU39" s="62">
        <f>(AT39-AT38)*'Baseline Inputs'!$B$265/100/2 + AT38 *'Baseline Inputs'!$B$265/100</f>
        <v>0</v>
      </c>
      <c r="AV39" s="62">
        <f t="shared" si="39"/>
        <v>0</v>
      </c>
      <c r="AW39" s="62">
        <f t="shared" si="15"/>
        <v>0</v>
      </c>
      <c r="AX39" s="62">
        <f t="shared" si="60"/>
        <v>0</v>
      </c>
      <c r="AY39" s="62">
        <f>(AX39-AX38)*'Baseline Inputs'!$B$266/100/2 + AX38 *'Baseline Inputs'!$B$266/100</f>
        <v>0</v>
      </c>
      <c r="AZ39" s="62">
        <f t="shared" si="40"/>
        <v>0</v>
      </c>
      <c r="BA39" s="62">
        <f t="shared" si="16"/>
        <v>0</v>
      </c>
      <c r="BB39" s="62">
        <f t="shared" si="61"/>
        <v>0</v>
      </c>
      <c r="BC39" s="62">
        <f>(BB39-BB38)*'Baseline Inputs'!$B$267/100/2 + BB38 *'Baseline Inputs'!$B$267/100</f>
        <v>0</v>
      </c>
      <c r="BD39" s="62">
        <f t="shared" si="41"/>
        <v>0</v>
      </c>
      <c r="BE39" s="62">
        <f t="shared" si="17"/>
        <v>0</v>
      </c>
      <c r="BF39" s="62">
        <f t="shared" si="62"/>
        <v>0</v>
      </c>
      <c r="BG39" s="62">
        <f>(BF39-BF38)*'Baseline Inputs'!$B$268/100/2 + BF38 *'Baseline Inputs'!$B$268/100</f>
        <v>0</v>
      </c>
      <c r="BH39" s="62">
        <f t="shared" si="42"/>
        <v>0</v>
      </c>
      <c r="BI39" s="62">
        <f t="shared" si="18"/>
        <v>0</v>
      </c>
      <c r="BJ39" s="62">
        <f t="shared" si="63"/>
        <v>0</v>
      </c>
      <c r="BK39" s="62">
        <f>(BJ39-BJ38)*'Baseline Inputs'!$B$269/100/2 + BJ38 *'Baseline Inputs'!$B$269/100</f>
        <v>0</v>
      </c>
      <c r="BL39" s="62">
        <f t="shared" si="43"/>
        <v>0</v>
      </c>
      <c r="BM39" s="62">
        <f t="shared" si="19"/>
        <v>0</v>
      </c>
      <c r="BN39" s="62">
        <f t="shared" si="64"/>
        <v>0</v>
      </c>
      <c r="BO39" s="62">
        <f>(BN39-BN38)*'Baseline Inputs'!$B$270/100/2 + BN38 *'Baseline Inputs'!$B$270/100</f>
        <v>0</v>
      </c>
      <c r="BP39" s="62">
        <f t="shared" si="44"/>
        <v>0</v>
      </c>
      <c r="BQ39" s="62">
        <f t="shared" si="20"/>
        <v>0</v>
      </c>
      <c r="BR39" s="62">
        <f t="shared" si="65"/>
        <v>0</v>
      </c>
      <c r="BS39" s="62">
        <f>(BR39-BR38)*'Baseline Inputs'!$B$271/100/2 + BR38 *'Baseline Inputs'!$B$271/100</f>
        <v>0</v>
      </c>
      <c r="BT39" s="62">
        <f t="shared" si="45"/>
        <v>0</v>
      </c>
      <c r="BU39" s="62">
        <f t="shared" si="21"/>
        <v>0</v>
      </c>
      <c r="BV39" s="62">
        <f t="shared" si="66"/>
        <v>0</v>
      </c>
      <c r="BW39" s="62">
        <f>(BV39-BV38)*'Baseline Inputs'!$B$272/100/2 + BV38 *'Baseline Inputs'!$B$272/100</f>
        <v>0</v>
      </c>
      <c r="BX39" s="62">
        <f t="shared" si="46"/>
        <v>0</v>
      </c>
      <c r="BY39" s="62">
        <f t="shared" si="22"/>
        <v>0</v>
      </c>
      <c r="BZ39" s="62">
        <f t="shared" si="67"/>
        <v>0</v>
      </c>
      <c r="CA39" s="62">
        <f>(BZ39-BZ38)*'Baseline Inputs'!$B$273/100/2 + BZ38 *'Baseline Inputs'!$B$273/100</f>
        <v>0</v>
      </c>
      <c r="CB39" s="62">
        <f t="shared" si="47"/>
        <v>0</v>
      </c>
      <c r="CC39" s="62">
        <f t="shared" si="23"/>
        <v>0</v>
      </c>
      <c r="CD39" s="62">
        <f t="shared" si="0"/>
        <v>51331.39</v>
      </c>
      <c r="CE39" s="62">
        <f t="shared" si="1"/>
        <v>1538.7763070000001</v>
      </c>
      <c r="CF39" s="62">
        <f t="shared" si="2"/>
        <v>36161.243214500006</v>
      </c>
      <c r="CG39" s="62">
        <f t="shared" si="3"/>
        <v>15170.146785499997</v>
      </c>
      <c r="CH39" s="62">
        <f>'CCA &amp; Cap Tax'!BL39</f>
        <v>0</v>
      </c>
      <c r="CI39" s="62">
        <f t="shared" si="24"/>
        <v>15170.146785499997</v>
      </c>
      <c r="CJ39" s="40">
        <f t="shared" si="68"/>
        <v>0.56000000000000005</v>
      </c>
      <c r="CK39" s="40">
        <f t="shared" si="68"/>
        <v>0.04</v>
      </c>
      <c r="CL39" s="62">
        <f t="shared" si="25"/>
        <v>9102.0880713000006</v>
      </c>
      <c r="CM39" s="40">
        <f t="shared" si="69"/>
        <v>2.8500000000000001E-2</v>
      </c>
      <c r="CN39" s="62">
        <f t="shared" si="26"/>
        <v>259.40951003205004</v>
      </c>
    </row>
    <row r="40" spans="1:92" x14ac:dyDescent="0.2">
      <c r="A40" s="4">
        <f t="shared" si="27"/>
        <v>2046</v>
      </c>
      <c r="B40" s="62">
        <f t="shared" si="48"/>
        <v>0</v>
      </c>
      <c r="C40" s="62">
        <f>(B40-B39)*'Baseline Inputs'!$B$252/100/2 + B39 *'Baseline Inputs'!$B$252/100</f>
        <v>0</v>
      </c>
      <c r="D40" s="62">
        <f t="shared" si="28"/>
        <v>0</v>
      </c>
      <c r="E40" s="62">
        <f t="shared" si="4"/>
        <v>0</v>
      </c>
      <c r="F40" s="62">
        <f t="shared" si="49"/>
        <v>0</v>
      </c>
      <c r="G40" s="62">
        <f>(F40-F39)*'Baseline Inputs'!$B$253/100/2 + F39 *'Baseline Inputs'!$B$253/100</f>
        <v>0</v>
      </c>
      <c r="H40" s="62">
        <f t="shared" si="29"/>
        <v>0</v>
      </c>
      <c r="I40" s="62">
        <f t="shared" si="5"/>
        <v>0</v>
      </c>
      <c r="J40" s="62">
        <f t="shared" si="50"/>
        <v>0</v>
      </c>
      <c r="K40" s="62">
        <f>(J40-J39)*'Baseline Inputs'!$B$254/100/2 + J39 *'Baseline Inputs'!$B$254/100</f>
        <v>0</v>
      </c>
      <c r="L40" s="62">
        <f t="shared" si="30"/>
        <v>0</v>
      </c>
      <c r="M40" s="62">
        <f t="shared" si="6"/>
        <v>0</v>
      </c>
      <c r="N40" s="62">
        <f t="shared" si="51"/>
        <v>0</v>
      </c>
      <c r="O40" s="62">
        <f>(N40-N39)*'Baseline Inputs'!$B$255/100/2 + N39 *'Baseline Inputs'!$B$255/100</f>
        <v>0</v>
      </c>
      <c r="P40" s="62">
        <f t="shared" si="31"/>
        <v>0</v>
      </c>
      <c r="Q40" s="62">
        <f t="shared" si="7"/>
        <v>0</v>
      </c>
      <c r="R40" s="62">
        <f t="shared" si="52"/>
        <v>12218.77</v>
      </c>
      <c r="S40" s="62">
        <f>(R40-R39)*'Baseline Inputs'!$B$256/100/2 + R39 *'Baseline Inputs'!$B$256/100</f>
        <v>406.88504100000006</v>
      </c>
      <c r="T40" s="62">
        <f t="shared" si="32"/>
        <v>9968.6835045000025</v>
      </c>
      <c r="U40" s="62">
        <f t="shared" si="8"/>
        <v>2250.0864954999979</v>
      </c>
      <c r="V40" s="62">
        <f t="shared" si="53"/>
        <v>9478.81</v>
      </c>
      <c r="W40" s="62">
        <f>(V40-V39)*'Baseline Inputs'!$B$257/100/2 + V39 *'Baseline Inputs'!$B$257/100</f>
        <v>284.36430000000001</v>
      </c>
      <c r="X40" s="62">
        <f t="shared" si="33"/>
        <v>6966.9253500000032</v>
      </c>
      <c r="Y40" s="62">
        <f t="shared" si="9"/>
        <v>2511.8846499999963</v>
      </c>
      <c r="Z40" s="62">
        <f t="shared" si="54"/>
        <v>29633.81</v>
      </c>
      <c r="AA40" s="62">
        <f>(Z40-Z39)*'Baseline Inputs'!$B$258/100/2 + Z39 *'Baseline Inputs'!$B$258/100</f>
        <v>847.5269659999999</v>
      </c>
      <c r="AB40" s="62">
        <f t="shared" si="34"/>
        <v>20764.410667</v>
      </c>
      <c r="AC40" s="62">
        <f t="shared" si="10"/>
        <v>8869.3993330000012</v>
      </c>
      <c r="AD40" s="62">
        <f t="shared" si="55"/>
        <v>0</v>
      </c>
      <c r="AE40" s="62">
        <f>(AD40-AD39)*'Baseline Inputs'!$B$259/100/2 + AD39 *'Baseline Inputs'!$B$259/100</f>
        <v>0</v>
      </c>
      <c r="AF40" s="62">
        <f t="shared" si="35"/>
        <v>0</v>
      </c>
      <c r="AG40" s="62">
        <f t="shared" si="11"/>
        <v>0</v>
      </c>
      <c r="AH40" s="62">
        <f t="shared" si="56"/>
        <v>0</v>
      </c>
      <c r="AI40" s="62">
        <f>(AH40-AH39)*'Baseline Inputs'!$B$260/100/2 + AH39 *'Baseline Inputs'!$B$260/100</f>
        <v>0</v>
      </c>
      <c r="AJ40" s="62">
        <f t="shared" si="36"/>
        <v>0</v>
      </c>
      <c r="AK40" s="62">
        <f t="shared" si="12"/>
        <v>0</v>
      </c>
      <c r="AL40" s="62">
        <f t="shared" si="57"/>
        <v>0</v>
      </c>
      <c r="AM40" s="62">
        <f>(AL40-AL39)*'Baseline Inputs'!$B$261/100/2 + AL39 *'Baseline Inputs'!$B$261/100</f>
        <v>0</v>
      </c>
      <c r="AN40" s="62">
        <f t="shared" si="37"/>
        <v>0</v>
      </c>
      <c r="AO40" s="62">
        <f t="shared" si="13"/>
        <v>0</v>
      </c>
      <c r="AP40" s="62">
        <f t="shared" si="58"/>
        <v>0</v>
      </c>
      <c r="AQ40" s="62">
        <f>(AP40-AP39)*'Baseline Inputs'!$B$264/100/2 + AP39 *'Baseline Inputs'!$B$264/100</f>
        <v>0</v>
      </c>
      <c r="AR40" s="62">
        <f t="shared" si="38"/>
        <v>0</v>
      </c>
      <c r="AS40" s="62">
        <f t="shared" si="14"/>
        <v>0</v>
      </c>
      <c r="AT40" s="62">
        <f t="shared" si="59"/>
        <v>0</v>
      </c>
      <c r="AU40" s="62">
        <f>(AT40-AT39)*'Baseline Inputs'!$B$265/100/2 + AT39 *'Baseline Inputs'!$B$265/100</f>
        <v>0</v>
      </c>
      <c r="AV40" s="62">
        <f t="shared" si="39"/>
        <v>0</v>
      </c>
      <c r="AW40" s="62">
        <f t="shared" si="15"/>
        <v>0</v>
      </c>
      <c r="AX40" s="62">
        <f t="shared" si="60"/>
        <v>0</v>
      </c>
      <c r="AY40" s="62">
        <f>(AX40-AX39)*'Baseline Inputs'!$B$266/100/2 + AX39 *'Baseline Inputs'!$B$266/100</f>
        <v>0</v>
      </c>
      <c r="AZ40" s="62">
        <f t="shared" si="40"/>
        <v>0</v>
      </c>
      <c r="BA40" s="62">
        <f t="shared" si="16"/>
        <v>0</v>
      </c>
      <c r="BB40" s="62">
        <f t="shared" si="61"/>
        <v>0</v>
      </c>
      <c r="BC40" s="62">
        <f>(BB40-BB39)*'Baseline Inputs'!$B$267/100/2 + BB39 *'Baseline Inputs'!$B$267/100</f>
        <v>0</v>
      </c>
      <c r="BD40" s="62">
        <f t="shared" si="41"/>
        <v>0</v>
      </c>
      <c r="BE40" s="62">
        <f t="shared" si="17"/>
        <v>0</v>
      </c>
      <c r="BF40" s="62">
        <f t="shared" si="62"/>
        <v>0</v>
      </c>
      <c r="BG40" s="62">
        <f>(BF40-BF39)*'Baseline Inputs'!$B$268/100/2 + BF39 *'Baseline Inputs'!$B$268/100</f>
        <v>0</v>
      </c>
      <c r="BH40" s="62">
        <f t="shared" si="42"/>
        <v>0</v>
      </c>
      <c r="BI40" s="62">
        <f t="shared" si="18"/>
        <v>0</v>
      </c>
      <c r="BJ40" s="62">
        <f t="shared" si="63"/>
        <v>0</v>
      </c>
      <c r="BK40" s="62">
        <f>(BJ40-BJ39)*'Baseline Inputs'!$B$269/100/2 + BJ39 *'Baseline Inputs'!$B$269/100</f>
        <v>0</v>
      </c>
      <c r="BL40" s="62">
        <f t="shared" si="43"/>
        <v>0</v>
      </c>
      <c r="BM40" s="62">
        <f t="shared" si="19"/>
        <v>0</v>
      </c>
      <c r="BN40" s="62">
        <f t="shared" si="64"/>
        <v>0</v>
      </c>
      <c r="BO40" s="62">
        <f>(BN40-BN39)*'Baseline Inputs'!$B$270/100/2 + BN39 *'Baseline Inputs'!$B$270/100</f>
        <v>0</v>
      </c>
      <c r="BP40" s="62">
        <f t="shared" si="44"/>
        <v>0</v>
      </c>
      <c r="BQ40" s="62">
        <f t="shared" si="20"/>
        <v>0</v>
      </c>
      <c r="BR40" s="62">
        <f t="shared" si="65"/>
        <v>0</v>
      </c>
      <c r="BS40" s="62">
        <f>(BR40-BR39)*'Baseline Inputs'!$B$271/100/2 + BR39 *'Baseline Inputs'!$B$271/100</f>
        <v>0</v>
      </c>
      <c r="BT40" s="62">
        <f t="shared" si="45"/>
        <v>0</v>
      </c>
      <c r="BU40" s="62">
        <f t="shared" si="21"/>
        <v>0</v>
      </c>
      <c r="BV40" s="62">
        <f t="shared" si="66"/>
        <v>0</v>
      </c>
      <c r="BW40" s="62">
        <f>(BV40-BV39)*'Baseline Inputs'!$B$272/100/2 + BV39 *'Baseline Inputs'!$B$272/100</f>
        <v>0</v>
      </c>
      <c r="BX40" s="62">
        <f t="shared" si="46"/>
        <v>0</v>
      </c>
      <c r="BY40" s="62">
        <f t="shared" si="22"/>
        <v>0</v>
      </c>
      <c r="BZ40" s="62">
        <f t="shared" si="67"/>
        <v>0</v>
      </c>
      <c r="CA40" s="62">
        <f>(BZ40-BZ39)*'Baseline Inputs'!$B$273/100/2 + BZ39 *'Baseline Inputs'!$B$273/100</f>
        <v>0</v>
      </c>
      <c r="CB40" s="62">
        <f t="shared" si="47"/>
        <v>0</v>
      </c>
      <c r="CC40" s="62">
        <f t="shared" si="23"/>
        <v>0</v>
      </c>
      <c r="CD40" s="62">
        <f t="shared" si="0"/>
        <v>51331.39</v>
      </c>
      <c r="CE40" s="62">
        <f t="shared" si="1"/>
        <v>1538.7763070000001</v>
      </c>
      <c r="CF40" s="62">
        <f t="shared" si="2"/>
        <v>37700.019521500006</v>
      </c>
      <c r="CG40" s="62">
        <f t="shared" si="3"/>
        <v>13631.370478499995</v>
      </c>
      <c r="CH40" s="62">
        <f>'CCA &amp; Cap Tax'!BL40</f>
        <v>0</v>
      </c>
      <c r="CI40" s="62">
        <f t="shared" si="24"/>
        <v>13631.370478499995</v>
      </c>
      <c r="CJ40" s="40">
        <f t="shared" si="68"/>
        <v>0.56000000000000005</v>
      </c>
      <c r="CK40" s="40">
        <f t="shared" si="68"/>
        <v>0.04</v>
      </c>
      <c r="CL40" s="62">
        <f t="shared" si="25"/>
        <v>8178.8222870999989</v>
      </c>
      <c r="CM40" s="40">
        <f t="shared" si="69"/>
        <v>2.8500000000000001E-2</v>
      </c>
      <c r="CN40" s="62">
        <f t="shared" si="26"/>
        <v>233.09643518234998</v>
      </c>
    </row>
    <row r="41" spans="1:92" x14ac:dyDescent="0.2">
      <c r="A41" s="4"/>
    </row>
    <row r="42" spans="1:92" x14ac:dyDescent="0.2">
      <c r="A42" s="4"/>
    </row>
    <row r="43" spans="1:92" x14ac:dyDescent="0.2">
      <c r="A43" s="4"/>
    </row>
    <row r="44" spans="1:92" x14ac:dyDescent="0.2">
      <c r="A44" s="4"/>
    </row>
    <row r="45" spans="1:92" x14ac:dyDescent="0.2">
      <c r="A45" s="4"/>
    </row>
    <row r="46" spans="1:92" x14ac:dyDescent="0.2">
      <c r="A46" s="4"/>
    </row>
    <row r="47" spans="1:92" x14ac:dyDescent="0.2">
      <c r="A47" s="4"/>
    </row>
    <row r="48" spans="1:92"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row r="88" spans="1:1" x14ac:dyDescent="0.2">
      <c r="A88" s="4"/>
    </row>
    <row r="89" spans="1:1" x14ac:dyDescent="0.2">
      <c r="A89" s="4"/>
    </row>
    <row r="90" spans="1:1" x14ac:dyDescent="0.2">
      <c r="A90" s="4"/>
    </row>
    <row r="91" spans="1:1" x14ac:dyDescent="0.2">
      <c r="A91" s="4"/>
    </row>
    <row r="92" spans="1:1" x14ac:dyDescent="0.2">
      <c r="A92" s="4"/>
    </row>
    <row r="93" spans="1:1" x14ac:dyDescent="0.2">
      <c r="A93" s="4"/>
    </row>
    <row r="94" spans="1:1" x14ac:dyDescent="0.2">
      <c r="A94" s="4"/>
    </row>
    <row r="95" spans="1:1" x14ac:dyDescent="0.2">
      <c r="A95" s="4"/>
    </row>
    <row r="96" spans="1:1" x14ac:dyDescent="0.2">
      <c r="A96" s="4"/>
    </row>
    <row r="97" spans="1:1" x14ac:dyDescent="0.2">
      <c r="A97" s="4"/>
    </row>
    <row r="98" spans="1:1" x14ac:dyDescent="0.2">
      <c r="A98" s="4"/>
    </row>
    <row r="99" spans="1:1" x14ac:dyDescent="0.2">
      <c r="A99" s="4"/>
    </row>
    <row r="100" spans="1:1" x14ac:dyDescent="0.2">
      <c r="A100" s="4"/>
    </row>
    <row r="101" spans="1:1" x14ac:dyDescent="0.2">
      <c r="A101" s="4"/>
    </row>
    <row r="102" spans="1:1" x14ac:dyDescent="0.2">
      <c r="A102" s="4"/>
    </row>
    <row r="103" spans="1:1" x14ac:dyDescent="0.2">
      <c r="A103" s="4"/>
    </row>
    <row r="104" spans="1:1" x14ac:dyDescent="0.2">
      <c r="A104" s="4"/>
    </row>
    <row r="105" spans="1:1" x14ac:dyDescent="0.2">
      <c r="A105" s="4"/>
    </row>
    <row r="106" spans="1:1" x14ac:dyDescent="0.2">
      <c r="A106" s="4"/>
    </row>
    <row r="107" spans="1:1" x14ac:dyDescent="0.2">
      <c r="A107" s="4"/>
    </row>
    <row r="108" spans="1:1" x14ac:dyDescent="0.2">
      <c r="A108" s="4"/>
    </row>
    <row r="109" spans="1:1" x14ac:dyDescent="0.2">
      <c r="A109" s="4"/>
    </row>
    <row r="110" spans="1:1" x14ac:dyDescent="0.2">
      <c r="A110" s="4"/>
    </row>
    <row r="111" spans="1:1" x14ac:dyDescent="0.2">
      <c r="A111" s="4"/>
    </row>
    <row r="112" spans="1:1" x14ac:dyDescent="0.2">
      <c r="A112" s="4"/>
    </row>
    <row r="113" spans="1:1" x14ac:dyDescent="0.2">
      <c r="A113" s="4"/>
    </row>
    <row r="114" spans="1:1" x14ac:dyDescent="0.2">
      <c r="A114" s="4"/>
    </row>
    <row r="115" spans="1:1" x14ac:dyDescent="0.2">
      <c r="A115" s="4"/>
    </row>
    <row r="116" spans="1:1" x14ac:dyDescent="0.2">
      <c r="A116" s="4"/>
    </row>
    <row r="117" spans="1:1" x14ac:dyDescent="0.2">
      <c r="A117" s="4"/>
    </row>
    <row r="118" spans="1:1" x14ac:dyDescent="0.2">
      <c r="A118" s="4"/>
    </row>
    <row r="119" spans="1:1" x14ac:dyDescent="0.2">
      <c r="A119" s="4"/>
    </row>
    <row r="120" spans="1:1" x14ac:dyDescent="0.2">
      <c r="A120" s="4"/>
    </row>
    <row r="121" spans="1:1" x14ac:dyDescent="0.2">
      <c r="A121" s="4"/>
    </row>
    <row r="122" spans="1:1" x14ac:dyDescent="0.2">
      <c r="A122" s="4"/>
    </row>
    <row r="123" spans="1:1" x14ac:dyDescent="0.2">
      <c r="A123" s="4"/>
    </row>
    <row r="124" spans="1:1" x14ac:dyDescent="0.2">
      <c r="A124" s="4"/>
    </row>
    <row r="125" spans="1:1" x14ac:dyDescent="0.2">
      <c r="A125" s="4"/>
    </row>
    <row r="126" spans="1:1" x14ac:dyDescent="0.2">
      <c r="A126" s="4"/>
    </row>
    <row r="127" spans="1:1" x14ac:dyDescent="0.2">
      <c r="A127" s="4"/>
    </row>
    <row r="128" spans="1:1"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sheetData>
  <customSheetViews>
    <customSheetView guid="{183997E1-9CCE-11D3-BD95-0000861AD9C2}" fitToPage="1" showRuler="0">
      <selection activeCell="C9" sqref="C9"/>
      <pageMargins left="0.75" right="0.75" top="1" bottom="1" header="0.5" footer="0.5"/>
      <headerFooter alignWithMargins="0"/>
    </customSheetView>
  </customSheetViews>
  <mergeCells count="1">
    <mergeCell ref="CJ14:CK14"/>
  </mergeCells>
  <phoneticPr fontId="0" type="noConversion"/>
  <pageMargins left="0.75" right="0.75" top="1" bottom="1" header="0.5" footer="0.5"/>
  <pageSetup scale="10"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5"/>
  <sheetViews>
    <sheetView workbookViewId="0">
      <selection activeCell="L22" sqref="L22"/>
    </sheetView>
  </sheetViews>
  <sheetFormatPr defaultRowHeight="12.75" x14ac:dyDescent="0.2"/>
  <cols>
    <col min="1" max="6" width="12.7109375" customWidth="1"/>
    <col min="7" max="7" width="12.7109375" style="4" customWidth="1"/>
    <col min="8" max="8" width="14.140625" style="4" bestFit="1" customWidth="1"/>
    <col min="9" max="10" width="12.7109375" style="4" customWidth="1"/>
    <col min="11" max="11" width="5.7109375" customWidth="1"/>
    <col min="12" max="12" width="15" bestFit="1" customWidth="1"/>
    <col min="13" max="14" width="12.7109375" customWidth="1"/>
  </cols>
  <sheetData>
    <row r="1" spans="1:14" ht="18" x14ac:dyDescent="0.25">
      <c r="A1" s="81" t="str">
        <f>'Table of Contents'!A1</f>
        <v>Expansion - Economic Evaluation Model 2022</v>
      </c>
    </row>
    <row r="3" spans="1:14" x14ac:dyDescent="0.2">
      <c r="A3" s="11" t="s">
        <v>74</v>
      </c>
    </row>
    <row r="4" spans="1:14" x14ac:dyDescent="0.2">
      <c r="H4" s="4" t="s">
        <v>202</v>
      </c>
      <c r="I4" s="4" t="s">
        <v>75</v>
      </c>
      <c r="J4" s="4" t="s">
        <v>64</v>
      </c>
      <c r="L4" s="4" t="s">
        <v>185</v>
      </c>
    </row>
    <row r="5" spans="1:14" x14ac:dyDescent="0.2">
      <c r="A5" s="4" t="str">
        <f>'NPV Cash Flow Anal'!A5</f>
        <v>Year</v>
      </c>
      <c r="B5" s="4" t="str">
        <f>'NPV Cash Flow Anal'!B5</f>
        <v>Revenue</v>
      </c>
      <c r="C5" s="4" t="str">
        <f>'NPV Cash Flow Anal'!D5</f>
        <v>OMADI</v>
      </c>
      <c r="D5" s="4" t="str">
        <f>'NPV Cash Flow Anal'!E5</f>
        <v>Municipal Tax</v>
      </c>
      <c r="E5" s="4" t="str">
        <f>'NPV Cash Flow Anal'!F5</f>
        <v>Capital Tax</v>
      </c>
      <c r="F5" s="4" t="s">
        <v>73</v>
      </c>
      <c r="G5" s="4" t="s">
        <v>4</v>
      </c>
      <c r="H5" s="4" t="s">
        <v>184</v>
      </c>
      <c r="I5" s="4" t="s">
        <v>33</v>
      </c>
      <c r="J5" s="4" t="s">
        <v>86</v>
      </c>
      <c r="L5" s="4" t="s">
        <v>210</v>
      </c>
    </row>
    <row r="6" spans="1:14" x14ac:dyDescent="0.2">
      <c r="A6" s="4"/>
      <c r="B6" s="4"/>
      <c r="C6" s="4"/>
      <c r="D6" s="4"/>
      <c r="E6" s="4"/>
      <c r="F6" s="4"/>
      <c r="L6" t="s">
        <v>186</v>
      </c>
    </row>
    <row r="7" spans="1:14" x14ac:dyDescent="0.2">
      <c r="A7" s="4">
        <f>'NPV Cash Flow Anal'!A7</f>
        <v>2022</v>
      </c>
      <c r="B7" s="62">
        <f>'Revenue '!L329</f>
        <v>2373.12</v>
      </c>
      <c r="C7" s="62">
        <f>OMADI!E97</f>
        <v>2031.0449767876057</v>
      </c>
      <c r="D7" s="62">
        <f>'Municipal Tax'!E7</f>
        <v>0</v>
      </c>
      <c r="E7" s="62">
        <f>'CCA &amp; Cap Tax'!BO16</f>
        <v>0</v>
      </c>
      <c r="F7" s="62">
        <f>'Dep''n &amp; Int'!CN16</f>
        <v>864.61023157515024</v>
      </c>
      <c r="G7" s="62">
        <f>'CCA &amp; Cap Tax'!BJ16</f>
        <v>2053.2556</v>
      </c>
      <c r="H7" s="62">
        <f>B7-C7-D7-E7-F7</f>
        <v>-522.53520836275607</v>
      </c>
      <c r="I7" s="40">
        <f>'Baseline Inputs'!$B$292/100</f>
        <v>0.26500000000000001</v>
      </c>
      <c r="J7" s="62">
        <f>H7*I7</f>
        <v>-138.47183021613037</v>
      </c>
      <c r="L7" s="241">
        <f>I7*G7</f>
        <v>544.11273400000005</v>
      </c>
      <c r="M7" s="25">
        <f>'Expansion Deposit'!S6</f>
        <v>531.9821836580287</v>
      </c>
      <c r="N7" s="25">
        <f>'Expansion Deposit'!T6</f>
        <v>531.9821836580287</v>
      </c>
    </row>
    <row r="8" spans="1:14" x14ac:dyDescent="0.2">
      <c r="A8" s="4">
        <f>'NPV Cash Flow Anal'!A8</f>
        <v>2023</v>
      </c>
      <c r="B8" s="62">
        <f>'Revenue '!L330</f>
        <v>3064.2911999999997</v>
      </c>
      <c r="C8" s="62">
        <f>OMADI!E98</f>
        <v>2538.806220984507</v>
      </c>
      <c r="D8" s="62">
        <f>'Municipal Tax'!E8</f>
        <v>0</v>
      </c>
      <c r="E8" s="62">
        <f>'CCA &amp; Cap Tax'!BO17</f>
        <v>0</v>
      </c>
      <c r="F8" s="62">
        <f>'Dep''n &amp; Int'!CN17</f>
        <v>838.29715672545012</v>
      </c>
      <c r="G8" s="62">
        <f>'CCA &amp; Cap Tax'!BJ17</f>
        <v>3942.2507519999999</v>
      </c>
      <c r="H8" s="62">
        <f t="shared" ref="H8:H31" si="0">B8-C8-D8-E8-F8</f>
        <v>-312.8121777099575</v>
      </c>
      <c r="I8" s="69">
        <f>IF(ISBLANK('Baseline Inputs'!$C$292), I7,'Baseline Inputs'!$C$292/100)</f>
        <v>0.26500000000000001</v>
      </c>
      <c r="J8" s="62">
        <f t="shared" ref="J8:J13" si="1">H8*I8</f>
        <v>-82.895227093138743</v>
      </c>
      <c r="L8" s="241">
        <f t="shared" ref="L8:L31" si="2">I8*G8</f>
        <v>1044.69644928</v>
      </c>
      <c r="M8" s="25">
        <f>'Expansion Deposit'!S7</f>
        <v>976.85616933526342</v>
      </c>
      <c r="N8" s="25">
        <f>'Expansion Deposit'!T7</f>
        <v>1508.8383529932921</v>
      </c>
    </row>
    <row r="9" spans="1:14" x14ac:dyDescent="0.2">
      <c r="A9" s="4">
        <f>'NPV Cash Flow Anal'!A9</f>
        <v>2024</v>
      </c>
      <c r="B9" s="62">
        <f>'Revenue '!L331</f>
        <v>3125.5770239999997</v>
      </c>
      <c r="C9" s="62">
        <f>OMADI!E99</f>
        <v>2538.806220984507</v>
      </c>
      <c r="D9" s="62">
        <f>'Municipal Tax'!E9</f>
        <v>0</v>
      </c>
      <c r="E9" s="62">
        <f>'CCA &amp; Cap Tax'!BO18</f>
        <v>0</v>
      </c>
      <c r="F9" s="62">
        <f>'Dep''n &amp; Int'!CN18</f>
        <v>811.98408187575023</v>
      </c>
      <c r="G9" s="62">
        <f>'CCA &amp; Cap Tax'!BJ18</f>
        <v>3626.8706918400003</v>
      </c>
      <c r="H9" s="62">
        <f t="shared" si="0"/>
        <v>-225.21327886025756</v>
      </c>
      <c r="I9" s="69">
        <f>IF(ISBLANK('Baseline Inputs'!$D$292), I8,'Baseline Inputs'!$D$292/100)</f>
        <v>0.26500000000000001</v>
      </c>
      <c r="J9" s="62">
        <f t="shared" si="1"/>
        <v>-59.681518897968253</v>
      </c>
      <c r="L9" s="241">
        <f t="shared" si="2"/>
        <v>961.12073333760009</v>
      </c>
      <c r="M9" s="25">
        <f>'Expansion Deposit'!S8</f>
        <v>859.50965215112524</v>
      </c>
      <c r="N9" s="25">
        <f>'Expansion Deposit'!T8</f>
        <v>2368.3480051444176</v>
      </c>
    </row>
    <row r="10" spans="1:14" x14ac:dyDescent="0.2">
      <c r="A10" s="4">
        <f>'NPV Cash Flow Anal'!A10</f>
        <v>2025</v>
      </c>
      <c r="B10" s="62">
        <f>'Revenue '!L332</f>
        <v>3188.0885644800001</v>
      </c>
      <c r="C10" s="62">
        <f>OMADI!E100</f>
        <v>2538.806220984507</v>
      </c>
      <c r="D10" s="62">
        <f>'Municipal Tax'!E10</f>
        <v>0</v>
      </c>
      <c r="E10" s="62">
        <f>'CCA &amp; Cap Tax'!BO19</f>
        <v>0</v>
      </c>
      <c r="F10" s="62">
        <f>'Dep''n &amp; Int'!CN19</f>
        <v>785.67100702605023</v>
      </c>
      <c r="G10" s="62">
        <f>'CCA &amp; Cap Tax'!BJ19</f>
        <v>3336.7210364928005</v>
      </c>
      <c r="H10" s="62">
        <f t="shared" si="0"/>
        <v>-136.38866353055721</v>
      </c>
      <c r="I10" s="69">
        <f>IF(ISBLANK('Baseline Inputs'!$E$292), I9,'Baseline Inputs'!$E$292/100)</f>
        <v>0.26500000000000001</v>
      </c>
      <c r="J10" s="62">
        <f t="shared" si="1"/>
        <v>-36.142995835597659</v>
      </c>
      <c r="L10" s="241">
        <f t="shared" si="2"/>
        <v>884.23107467059219</v>
      </c>
      <c r="M10" s="25">
        <f>'Expansion Deposit'!S9</f>
        <v>756.25958593644521</v>
      </c>
      <c r="N10" s="25">
        <f>'Expansion Deposit'!T9</f>
        <v>3124.6075910808627</v>
      </c>
    </row>
    <row r="11" spans="1:14" x14ac:dyDescent="0.2">
      <c r="A11" s="4">
        <f>'NPV Cash Flow Anal'!A11</f>
        <v>2026</v>
      </c>
      <c r="B11" s="62">
        <f>'Revenue '!L333</f>
        <v>3251.8503357696</v>
      </c>
      <c r="C11" s="62">
        <f>OMADI!E101</f>
        <v>2538.806220984507</v>
      </c>
      <c r="D11" s="62">
        <f>'Municipal Tax'!E11</f>
        <v>0</v>
      </c>
      <c r="E11" s="62">
        <f>'CCA &amp; Cap Tax'!BO20</f>
        <v>0</v>
      </c>
      <c r="F11" s="62">
        <f>'Dep''n &amp; Int'!CN20</f>
        <v>759.35793217635012</v>
      </c>
      <c r="G11" s="62">
        <f>'CCA &amp; Cap Tax'!BJ20</f>
        <v>3069.7833535733762</v>
      </c>
      <c r="H11" s="62">
        <f t="shared" si="0"/>
        <v>-46.313817391257203</v>
      </c>
      <c r="I11" s="69">
        <f>IF(ISBLANK('Baseline Inputs'!$F$292), I10,'Baseline Inputs'!$F$292/100)</f>
        <v>0.26500000000000001</v>
      </c>
      <c r="J11" s="62">
        <f t="shared" si="1"/>
        <v>-12.273161608683159</v>
      </c>
      <c r="L11" s="241">
        <f t="shared" si="2"/>
        <v>813.49258869694472</v>
      </c>
      <c r="M11" s="25">
        <f>'Expansion Deposit'!S10</f>
        <v>665.41261042197425</v>
      </c>
      <c r="N11" s="25">
        <f>'Expansion Deposit'!T10</f>
        <v>3790.0202015028372</v>
      </c>
    </row>
    <row r="12" spans="1:14" x14ac:dyDescent="0.2">
      <c r="A12" s="4">
        <f>'NPV Cash Flow Anal'!A12</f>
        <v>2027</v>
      </c>
      <c r="B12" s="62">
        <f>B11</f>
        <v>3251.8503357696</v>
      </c>
      <c r="C12" s="62">
        <f>C11</f>
        <v>2538.806220984507</v>
      </c>
      <c r="D12" s="62">
        <f>D11</f>
        <v>0</v>
      </c>
      <c r="E12" s="62">
        <f>'CCA &amp; Cap Tax'!BO21</f>
        <v>0</v>
      </c>
      <c r="F12" s="62">
        <f>'Dep''n &amp; Int'!CN21</f>
        <v>733.04485732665</v>
      </c>
      <c r="G12" s="62">
        <f>'CCA &amp; Cap Tax'!BJ21</f>
        <v>2824.2006852875065</v>
      </c>
      <c r="H12" s="62">
        <f t="shared" si="0"/>
        <v>-20.000742541557088</v>
      </c>
      <c r="I12" s="40">
        <f>I11</f>
        <v>0.26500000000000001</v>
      </c>
      <c r="J12" s="62">
        <f t="shared" si="1"/>
        <v>-5.3001967735126287</v>
      </c>
      <c r="L12" s="241">
        <f t="shared" si="2"/>
        <v>748.41318160118931</v>
      </c>
      <c r="M12" s="25">
        <f>'Expansion Deposit'!S11</f>
        <v>585.47878313544618</v>
      </c>
      <c r="N12" s="25">
        <f>'Expansion Deposit'!T11</f>
        <v>4375.4989846382832</v>
      </c>
    </row>
    <row r="13" spans="1:14" x14ac:dyDescent="0.2">
      <c r="A13" s="4">
        <f>'NPV Cash Flow Anal'!A13</f>
        <v>2028</v>
      </c>
      <c r="B13" s="62">
        <f t="shared" ref="B13:B31" si="3">B12</f>
        <v>3251.8503357696</v>
      </c>
      <c r="C13" s="62">
        <f t="shared" ref="C13:C31" si="4">C12</f>
        <v>2538.806220984507</v>
      </c>
      <c r="D13" s="62">
        <f t="shared" ref="D13:D31" si="5">D12</f>
        <v>0</v>
      </c>
      <c r="E13" s="62">
        <f>'CCA &amp; Cap Tax'!BO22</f>
        <v>0</v>
      </c>
      <c r="F13" s="62">
        <f>'Dep''n &amp; Int'!CN22</f>
        <v>706.73178247695023</v>
      </c>
      <c r="G13" s="62">
        <f>'CCA &amp; Cap Tax'!BJ22</f>
        <v>2598.2646304645059</v>
      </c>
      <c r="H13" s="62">
        <f t="shared" si="0"/>
        <v>6.3123323081426861</v>
      </c>
      <c r="I13" s="40">
        <f t="shared" ref="I13:I31" si="6">I12</f>
        <v>0.26500000000000001</v>
      </c>
      <c r="J13" s="62">
        <f t="shared" si="1"/>
        <v>1.672768061657812</v>
      </c>
      <c r="L13" s="241">
        <f t="shared" si="2"/>
        <v>688.54012707309414</v>
      </c>
      <c r="M13" s="25">
        <f>'Expansion Deposit'!S12</f>
        <v>515.14714349098961</v>
      </c>
      <c r="N13" s="25">
        <f>'Expansion Deposit'!T12</f>
        <v>4890.6461281292732</v>
      </c>
    </row>
    <row r="14" spans="1:14" x14ac:dyDescent="0.2">
      <c r="A14" s="4">
        <f>'NPV Cash Flow Anal'!A14</f>
        <v>2029</v>
      </c>
      <c r="B14" s="62">
        <f t="shared" si="3"/>
        <v>3251.8503357696</v>
      </c>
      <c r="C14" s="62">
        <f t="shared" si="4"/>
        <v>2538.806220984507</v>
      </c>
      <c r="D14" s="62">
        <f t="shared" si="5"/>
        <v>0</v>
      </c>
      <c r="E14" s="62">
        <f>'CCA &amp; Cap Tax'!BO23</f>
        <v>0</v>
      </c>
      <c r="F14" s="62">
        <f>'Dep''n &amp; Int'!CN23</f>
        <v>680.41870762725034</v>
      </c>
      <c r="G14" s="62">
        <f>'CCA &amp; Cap Tax'!BJ23</f>
        <v>2390.4034600273453</v>
      </c>
      <c r="H14" s="62">
        <f t="shared" si="0"/>
        <v>32.625407157842574</v>
      </c>
      <c r="I14" s="40">
        <f t="shared" si="6"/>
        <v>0.26500000000000001</v>
      </c>
      <c r="J14" s="62">
        <f t="shared" ref="J14:J31" si="7">H14*I14</f>
        <v>8.6457328968282816</v>
      </c>
      <c r="L14" s="241">
        <f t="shared" si="2"/>
        <v>633.45691690724652</v>
      </c>
      <c r="M14" s="25">
        <f>'Expansion Deposit'!S13</f>
        <v>453.26421228407395</v>
      </c>
      <c r="N14" s="25">
        <f>'Expansion Deposit'!T13</f>
        <v>5343.9103404133475</v>
      </c>
    </row>
    <row r="15" spans="1:14" x14ac:dyDescent="0.2">
      <c r="A15" s="4">
        <f>'NPV Cash Flow Anal'!A15</f>
        <v>2030</v>
      </c>
      <c r="B15" s="62">
        <f t="shared" si="3"/>
        <v>3251.8503357696</v>
      </c>
      <c r="C15" s="62">
        <f t="shared" si="4"/>
        <v>2538.806220984507</v>
      </c>
      <c r="D15" s="62">
        <f t="shared" si="5"/>
        <v>0</v>
      </c>
      <c r="E15" s="62">
        <f>'CCA &amp; Cap Tax'!BO24</f>
        <v>0</v>
      </c>
      <c r="F15" s="62">
        <f>'Dep''n &amp; Int'!CN24</f>
        <v>654.10563277755011</v>
      </c>
      <c r="G15" s="62">
        <f>'CCA &amp; Cap Tax'!BJ24</f>
        <v>2199.1711832251576</v>
      </c>
      <c r="H15" s="62">
        <f t="shared" si="0"/>
        <v>58.938482007542802</v>
      </c>
      <c r="I15" s="40">
        <f t="shared" si="6"/>
        <v>0.26500000000000001</v>
      </c>
      <c r="J15" s="62">
        <f t="shared" si="7"/>
        <v>15.618697731998843</v>
      </c>
      <c r="L15" s="241">
        <f t="shared" si="2"/>
        <v>582.78036355466679</v>
      </c>
      <c r="M15" s="25">
        <f>'Expansion Deposit'!S14</f>
        <v>398.81507397137608</v>
      </c>
      <c r="N15" s="25">
        <f>'Expansion Deposit'!T14</f>
        <v>5742.725414384724</v>
      </c>
    </row>
    <row r="16" spans="1:14" x14ac:dyDescent="0.2">
      <c r="A16" s="4">
        <f>'NPV Cash Flow Anal'!A16</f>
        <v>2031</v>
      </c>
      <c r="B16" s="62">
        <f t="shared" si="3"/>
        <v>3251.8503357696</v>
      </c>
      <c r="C16" s="62">
        <f t="shared" si="4"/>
        <v>2538.806220984507</v>
      </c>
      <c r="D16" s="62">
        <f t="shared" si="5"/>
        <v>0</v>
      </c>
      <c r="E16" s="62">
        <f>'CCA &amp; Cap Tax'!BO25</f>
        <v>0</v>
      </c>
      <c r="F16" s="62">
        <f>'Dep''n &amp; Int'!CN25</f>
        <v>627.79255792785011</v>
      </c>
      <c r="G16" s="62">
        <f>'CCA &amp; Cap Tax'!BJ25</f>
        <v>2023.2374885671452</v>
      </c>
      <c r="H16" s="62">
        <f t="shared" si="0"/>
        <v>85.251556857242804</v>
      </c>
      <c r="I16" s="40">
        <f t="shared" si="6"/>
        <v>0.26500000000000001</v>
      </c>
      <c r="J16" s="62">
        <f t="shared" si="7"/>
        <v>22.591662567169344</v>
      </c>
      <c r="L16" s="241">
        <f t="shared" si="2"/>
        <v>536.15793447029353</v>
      </c>
      <c r="M16" s="25">
        <f>'Expansion Deposit'!S15</f>
        <v>350.90673147411587</v>
      </c>
      <c r="N16" s="25">
        <f>'Expansion Deposit'!T15</f>
        <v>6093.63214585884</v>
      </c>
    </row>
    <row r="17" spans="1:14" x14ac:dyDescent="0.2">
      <c r="A17" s="4">
        <f>'NPV Cash Flow Anal'!A17</f>
        <v>2032</v>
      </c>
      <c r="B17" s="62">
        <f t="shared" si="3"/>
        <v>3251.8503357696</v>
      </c>
      <c r="C17" s="62">
        <f t="shared" si="4"/>
        <v>2538.806220984507</v>
      </c>
      <c r="D17" s="62">
        <f t="shared" si="5"/>
        <v>0</v>
      </c>
      <c r="E17" s="62">
        <f>'CCA &amp; Cap Tax'!BO26</f>
        <v>0</v>
      </c>
      <c r="F17" s="62">
        <f>'Dep''n &amp; Int'!CN26</f>
        <v>601.47948307815011</v>
      </c>
      <c r="G17" s="62">
        <f>'CCA &amp; Cap Tax'!BJ26</f>
        <v>1861.3784894817736</v>
      </c>
      <c r="H17" s="62">
        <f t="shared" si="0"/>
        <v>111.56463170694281</v>
      </c>
      <c r="I17" s="40">
        <f t="shared" si="6"/>
        <v>0.26500000000000001</v>
      </c>
      <c r="J17" s="62">
        <f t="shared" si="7"/>
        <v>29.564627402339845</v>
      </c>
      <c r="L17" s="241">
        <f t="shared" si="2"/>
        <v>493.26529971267001</v>
      </c>
      <c r="M17" s="25">
        <f>'Expansion Deposit'!S16</f>
        <v>308.7534605140952</v>
      </c>
      <c r="N17" s="25">
        <f>'Expansion Deposit'!T16</f>
        <v>6402.3856063729354</v>
      </c>
    </row>
    <row r="18" spans="1:14" x14ac:dyDescent="0.2">
      <c r="A18" s="4">
        <f>'NPV Cash Flow Anal'!A18</f>
        <v>2033</v>
      </c>
      <c r="B18" s="62">
        <f t="shared" si="3"/>
        <v>3251.8503357696</v>
      </c>
      <c r="C18" s="62">
        <f t="shared" si="4"/>
        <v>2538.806220984507</v>
      </c>
      <c r="D18" s="62">
        <f t="shared" si="5"/>
        <v>0</v>
      </c>
      <c r="E18" s="62">
        <f>'CCA &amp; Cap Tax'!BO27</f>
        <v>0</v>
      </c>
      <c r="F18" s="62">
        <f>'Dep''n &amp; Int'!CN27</f>
        <v>575.16640822845034</v>
      </c>
      <c r="G18" s="62">
        <f>'CCA &amp; Cap Tax'!BJ27</f>
        <v>1712.4682103232317</v>
      </c>
      <c r="H18" s="62">
        <f t="shared" si="0"/>
        <v>137.87770655664258</v>
      </c>
      <c r="I18" s="40">
        <f t="shared" si="6"/>
        <v>0.26500000000000001</v>
      </c>
      <c r="J18" s="62">
        <f t="shared" si="7"/>
        <v>36.537592237510282</v>
      </c>
      <c r="L18" s="241">
        <f t="shared" si="2"/>
        <v>453.8040757356564</v>
      </c>
      <c r="M18" s="25">
        <f>'Expansion Deposit'!S17</f>
        <v>271.66392328515576</v>
      </c>
      <c r="N18" s="25">
        <f>'Expansion Deposit'!T17</f>
        <v>6674.0495296580912</v>
      </c>
    </row>
    <row r="19" spans="1:14" x14ac:dyDescent="0.2">
      <c r="A19" s="4">
        <f>'NPV Cash Flow Anal'!A19</f>
        <v>2034</v>
      </c>
      <c r="B19" s="62">
        <f t="shared" si="3"/>
        <v>3251.8503357696</v>
      </c>
      <c r="C19" s="62">
        <f t="shared" si="4"/>
        <v>2538.806220984507</v>
      </c>
      <c r="D19" s="62">
        <f t="shared" si="5"/>
        <v>0</v>
      </c>
      <c r="E19" s="62">
        <f>'CCA &amp; Cap Tax'!BO28</f>
        <v>0</v>
      </c>
      <c r="F19" s="62">
        <f>'Dep''n &amp; Int'!CN28</f>
        <v>548.85333337875022</v>
      </c>
      <c r="G19" s="62">
        <f>'CCA &amp; Cap Tax'!BJ28</f>
        <v>1575.4707534973732</v>
      </c>
      <c r="H19" s="62">
        <f t="shared" si="0"/>
        <v>164.19078140634269</v>
      </c>
      <c r="I19" s="40">
        <f t="shared" si="6"/>
        <v>0.26500000000000001</v>
      </c>
      <c r="J19" s="62">
        <f t="shared" si="7"/>
        <v>43.510557072680818</v>
      </c>
      <c r="L19" s="241">
        <f t="shared" si="2"/>
        <v>417.4997496768039</v>
      </c>
      <c r="M19" s="25">
        <f>'Expansion Deposit'!S18</f>
        <v>239.02983011687999</v>
      </c>
      <c r="N19" s="25">
        <f>'Expansion Deposit'!T18</f>
        <v>6913.0793597749707</v>
      </c>
    </row>
    <row r="20" spans="1:14" x14ac:dyDescent="0.2">
      <c r="A20" s="4">
        <f>'NPV Cash Flow Anal'!A20</f>
        <v>2035</v>
      </c>
      <c r="B20" s="62">
        <f t="shared" si="3"/>
        <v>3251.8503357696</v>
      </c>
      <c r="C20" s="62">
        <f t="shared" si="4"/>
        <v>2538.806220984507</v>
      </c>
      <c r="D20" s="62">
        <f t="shared" si="5"/>
        <v>0</v>
      </c>
      <c r="E20" s="62">
        <f>'CCA &amp; Cap Tax'!BO29</f>
        <v>0</v>
      </c>
      <c r="F20" s="62">
        <f>'Dep''n &amp; Int'!CN29</f>
        <v>522.54025852905011</v>
      </c>
      <c r="G20" s="62">
        <f>'CCA &amp; Cap Tax'!BJ29</f>
        <v>1449.4330932175833</v>
      </c>
      <c r="H20" s="62">
        <f t="shared" si="0"/>
        <v>190.50385625604281</v>
      </c>
      <c r="I20" s="40">
        <f t="shared" si="6"/>
        <v>0.26500000000000001</v>
      </c>
      <c r="J20" s="62">
        <f t="shared" si="7"/>
        <v>50.483521907851348</v>
      </c>
      <c r="L20" s="241">
        <f t="shared" si="2"/>
        <v>384.09976970265961</v>
      </c>
      <c r="M20" s="25">
        <f>'Expansion Deposit'!S19</f>
        <v>210.31596317532271</v>
      </c>
      <c r="N20" s="25">
        <f>'Expansion Deposit'!T19</f>
        <v>7123.3953229502931</v>
      </c>
    </row>
    <row r="21" spans="1:14" x14ac:dyDescent="0.2">
      <c r="A21" s="4">
        <f>'NPV Cash Flow Anal'!A21</f>
        <v>2036</v>
      </c>
      <c r="B21" s="62">
        <f t="shared" si="3"/>
        <v>3251.8503357696</v>
      </c>
      <c r="C21" s="62">
        <f t="shared" si="4"/>
        <v>2538.806220984507</v>
      </c>
      <c r="D21" s="62">
        <f t="shared" si="5"/>
        <v>0</v>
      </c>
      <c r="E21" s="62">
        <f>'CCA &amp; Cap Tax'!BO30</f>
        <v>0</v>
      </c>
      <c r="F21" s="62">
        <f>'Dep''n &amp; Int'!CN30</f>
        <v>496.22718367935011</v>
      </c>
      <c r="G21" s="62">
        <f>'CCA &amp; Cap Tax'!BJ30</f>
        <v>1333.4784457601768</v>
      </c>
      <c r="H21" s="62">
        <f t="shared" si="0"/>
        <v>216.81693110574281</v>
      </c>
      <c r="I21" s="40">
        <f t="shared" si="6"/>
        <v>0.26500000000000001</v>
      </c>
      <c r="J21" s="62">
        <f t="shared" si="7"/>
        <v>57.456486743021848</v>
      </c>
      <c r="L21" s="241">
        <f t="shared" si="2"/>
        <v>353.37178812644686</v>
      </c>
      <c r="M21" s="25">
        <f>'Expansion Deposit'!S20</f>
        <v>185.05139858374534</v>
      </c>
      <c r="N21" s="25">
        <f>'Expansion Deposit'!T20</f>
        <v>7308.4467215340383</v>
      </c>
    </row>
    <row r="22" spans="1:14" x14ac:dyDescent="0.2">
      <c r="A22" s="4">
        <f>'NPV Cash Flow Anal'!A22</f>
        <v>2037</v>
      </c>
      <c r="B22" s="62">
        <f t="shared" si="3"/>
        <v>3251.8503357696</v>
      </c>
      <c r="C22" s="62">
        <f t="shared" si="4"/>
        <v>2538.806220984507</v>
      </c>
      <c r="D22" s="62">
        <f t="shared" si="5"/>
        <v>0</v>
      </c>
      <c r="E22" s="62">
        <f>'CCA &amp; Cap Tax'!BO31</f>
        <v>0</v>
      </c>
      <c r="F22" s="62">
        <f>'Dep''n &amp; Int'!CN31</f>
        <v>469.91410882965022</v>
      </c>
      <c r="G22" s="62">
        <f>'CCA &amp; Cap Tax'!BJ31</f>
        <v>1226.8001700993625</v>
      </c>
      <c r="H22" s="62">
        <f t="shared" si="0"/>
        <v>243.1300059554427</v>
      </c>
      <c r="I22" s="40">
        <f t="shared" si="6"/>
        <v>0.26500000000000001</v>
      </c>
      <c r="J22" s="62">
        <f t="shared" si="7"/>
        <v>64.429451578192314</v>
      </c>
      <c r="L22" s="241">
        <f t="shared" si="2"/>
        <v>325.10204507633108</v>
      </c>
      <c r="M22" s="25">
        <f>'Expansion Deposit'!S21</f>
        <v>162.82178300110212</v>
      </c>
      <c r="N22" s="25">
        <f>'Expansion Deposit'!T21</f>
        <v>7471.26850453514</v>
      </c>
    </row>
    <row r="23" spans="1:14" x14ac:dyDescent="0.2">
      <c r="A23" s="4">
        <f>'NPV Cash Flow Anal'!A23</f>
        <v>2038</v>
      </c>
      <c r="B23" s="62">
        <f t="shared" si="3"/>
        <v>3251.8503357696</v>
      </c>
      <c r="C23" s="62">
        <f t="shared" si="4"/>
        <v>2538.806220984507</v>
      </c>
      <c r="D23" s="62">
        <f t="shared" si="5"/>
        <v>0</v>
      </c>
      <c r="E23" s="62">
        <f>'CCA &amp; Cap Tax'!BO32</f>
        <v>0</v>
      </c>
      <c r="F23" s="62">
        <f>'Dep''n &amp; Int'!CN32</f>
        <v>443.6010339799501</v>
      </c>
      <c r="G23" s="62">
        <f>'CCA &amp; Cap Tax'!BJ32</f>
        <v>1128.6561564914136</v>
      </c>
      <c r="H23" s="62">
        <f t="shared" si="0"/>
        <v>269.44308080514281</v>
      </c>
      <c r="I23" s="40">
        <f t="shared" si="6"/>
        <v>0.26500000000000001</v>
      </c>
      <c r="J23" s="62">
        <f t="shared" si="7"/>
        <v>71.402416413362843</v>
      </c>
      <c r="L23" s="241">
        <f t="shared" si="2"/>
        <v>299.09388147022463</v>
      </c>
      <c r="M23" s="25">
        <f>'Expansion Deposit'!S22</f>
        <v>143.26253798973815</v>
      </c>
      <c r="N23" s="25">
        <f>'Expansion Deposit'!T22</f>
        <v>7614.5310425248781</v>
      </c>
    </row>
    <row r="24" spans="1:14" x14ac:dyDescent="0.2">
      <c r="A24" s="4">
        <f>'NPV Cash Flow Anal'!A24</f>
        <v>2039</v>
      </c>
      <c r="B24" s="62">
        <f t="shared" si="3"/>
        <v>3251.8503357696</v>
      </c>
      <c r="C24" s="62">
        <f t="shared" si="4"/>
        <v>2538.806220984507</v>
      </c>
      <c r="D24" s="62">
        <f t="shared" si="5"/>
        <v>0</v>
      </c>
      <c r="E24" s="62">
        <f>'CCA &amp; Cap Tax'!BO33</f>
        <v>0</v>
      </c>
      <c r="F24" s="62">
        <f>'Dep''n &amp; Int'!CN33</f>
        <v>417.2879591302501</v>
      </c>
      <c r="G24" s="62">
        <f>'CCA &amp; Cap Tax'!BJ33</f>
        <v>1038.3636639721005</v>
      </c>
      <c r="H24" s="62">
        <f t="shared" si="0"/>
        <v>295.75615565484281</v>
      </c>
      <c r="I24" s="40">
        <f t="shared" si="6"/>
        <v>0.26500000000000001</v>
      </c>
      <c r="J24" s="62">
        <f t="shared" si="7"/>
        <v>78.375381248533344</v>
      </c>
      <c r="L24" s="241">
        <f t="shared" si="2"/>
        <v>275.16637095260666</v>
      </c>
      <c r="M24" s="25">
        <f>'Expansion Deposit'!S23</f>
        <v>126.05288072003388</v>
      </c>
      <c r="N24" s="25">
        <f>'Expansion Deposit'!T23</f>
        <v>7740.5839232449116</v>
      </c>
    </row>
    <row r="25" spans="1:14" x14ac:dyDescent="0.2">
      <c r="A25" s="4">
        <f>'NPV Cash Flow Anal'!A25</f>
        <v>2040</v>
      </c>
      <c r="B25" s="62">
        <f t="shared" si="3"/>
        <v>3251.8503357696</v>
      </c>
      <c r="C25" s="62">
        <f t="shared" si="4"/>
        <v>2538.806220984507</v>
      </c>
      <c r="D25" s="62">
        <f t="shared" si="5"/>
        <v>0</v>
      </c>
      <c r="E25" s="62">
        <f>'CCA &amp; Cap Tax'!BO34</f>
        <v>0</v>
      </c>
      <c r="F25" s="62">
        <f>'Dep''n &amp; Int'!CN34</f>
        <v>390.9748842805501</v>
      </c>
      <c r="G25" s="62">
        <f>'CCA &amp; Cap Tax'!BJ34</f>
        <v>955.29457085433251</v>
      </c>
      <c r="H25" s="62">
        <f t="shared" si="0"/>
        <v>322.06923050454282</v>
      </c>
      <c r="I25" s="40">
        <f t="shared" si="6"/>
        <v>0.26500000000000001</v>
      </c>
      <c r="J25" s="62">
        <f t="shared" si="7"/>
        <v>85.348346083703845</v>
      </c>
      <c r="L25" s="241">
        <f t="shared" si="2"/>
        <v>253.15306127639812</v>
      </c>
      <c r="M25" s="25">
        <f>'Expansion Deposit'!S24</f>
        <v>110.91056294812562</v>
      </c>
      <c r="N25" s="25">
        <f>'Expansion Deposit'!T24</f>
        <v>7851.4944861930371</v>
      </c>
    </row>
    <row r="26" spans="1:14" x14ac:dyDescent="0.2">
      <c r="A26" s="4">
        <f>'NPV Cash Flow Anal'!A26</f>
        <v>2041</v>
      </c>
      <c r="B26" s="62">
        <f t="shared" si="3"/>
        <v>3251.8503357696</v>
      </c>
      <c r="C26" s="62">
        <f t="shared" si="4"/>
        <v>2538.806220984507</v>
      </c>
      <c r="D26" s="62">
        <f t="shared" si="5"/>
        <v>0</v>
      </c>
      <c r="E26" s="62">
        <f>'CCA &amp; Cap Tax'!BO35</f>
        <v>0</v>
      </c>
      <c r="F26" s="62">
        <f>'Dep''n &amp; Int'!CN35</f>
        <v>364.66180943085004</v>
      </c>
      <c r="G26" s="62">
        <f>'CCA &amp; Cap Tax'!BJ35</f>
        <v>878.87100518598595</v>
      </c>
      <c r="H26" s="62">
        <f t="shared" si="0"/>
        <v>348.38230535424287</v>
      </c>
      <c r="I26" s="40">
        <f t="shared" si="6"/>
        <v>0.26500000000000001</v>
      </c>
      <c r="J26" s="62">
        <f t="shared" si="7"/>
        <v>92.32131091887436</v>
      </c>
      <c r="L26" s="241">
        <f t="shared" si="2"/>
        <v>232.90081637428628</v>
      </c>
      <c r="M26" s="25">
        <f>'Expansion Deposit'!S25</f>
        <v>97.58724198292029</v>
      </c>
      <c r="N26" s="25">
        <f>'Expansion Deposit'!T25</f>
        <v>7949.0817281759573</v>
      </c>
    </row>
    <row r="27" spans="1:14" x14ac:dyDescent="0.2">
      <c r="A27" s="4">
        <f>'NPV Cash Flow Anal'!A27</f>
        <v>2042</v>
      </c>
      <c r="B27" s="62">
        <f t="shared" si="3"/>
        <v>3251.8503357696</v>
      </c>
      <c r="C27" s="62">
        <f t="shared" si="4"/>
        <v>2538.806220984507</v>
      </c>
      <c r="D27" s="62">
        <f t="shared" si="5"/>
        <v>0</v>
      </c>
      <c r="E27" s="62">
        <f>'CCA &amp; Cap Tax'!BO36</f>
        <v>0</v>
      </c>
      <c r="F27" s="62">
        <f>'Dep''n &amp; Int'!CN36</f>
        <v>338.3487345811501</v>
      </c>
      <c r="G27" s="62">
        <f>'CCA &amp; Cap Tax'!BJ36</f>
        <v>808.56132477110702</v>
      </c>
      <c r="H27" s="62">
        <f t="shared" si="0"/>
        <v>374.69538020394282</v>
      </c>
      <c r="I27" s="40">
        <f t="shared" si="6"/>
        <v>0.26500000000000001</v>
      </c>
      <c r="J27" s="62">
        <f t="shared" si="7"/>
        <v>99.294275754044847</v>
      </c>
      <c r="L27" s="241">
        <f t="shared" si="2"/>
        <v>214.26875106434338</v>
      </c>
      <c r="M27" s="25">
        <f>'Expansion Deposit'!S26</f>
        <v>85.86440772361064</v>
      </c>
      <c r="N27" s="25">
        <f>'Expansion Deposit'!T26</f>
        <v>8034.9461358995677</v>
      </c>
    </row>
    <row r="28" spans="1:14" x14ac:dyDescent="0.2">
      <c r="A28" s="4">
        <f>'NPV Cash Flow Anal'!A28</f>
        <v>2043</v>
      </c>
      <c r="B28" s="62">
        <f t="shared" si="3"/>
        <v>3251.8503357696</v>
      </c>
      <c r="C28" s="62">
        <f t="shared" si="4"/>
        <v>2538.806220984507</v>
      </c>
      <c r="D28" s="62">
        <f t="shared" si="5"/>
        <v>0</v>
      </c>
      <c r="E28" s="62">
        <f>'CCA &amp; Cap Tax'!BO37</f>
        <v>0</v>
      </c>
      <c r="F28" s="62">
        <f>'Dep''n &amp; Int'!CN37</f>
        <v>312.03565973145004</v>
      </c>
      <c r="G28" s="62">
        <f>'CCA &amp; Cap Tax'!BJ37</f>
        <v>743.87641878941849</v>
      </c>
      <c r="H28" s="62">
        <f t="shared" si="0"/>
        <v>401.00845505364288</v>
      </c>
      <c r="I28" s="40">
        <f t="shared" si="6"/>
        <v>0.26500000000000001</v>
      </c>
      <c r="J28" s="62">
        <f t="shared" si="7"/>
        <v>106.26724058921536</v>
      </c>
      <c r="L28" s="241">
        <f t="shared" si="2"/>
        <v>197.12725097919591</v>
      </c>
      <c r="M28" s="25">
        <f>'Expansion Deposit'!S27</f>
        <v>75.549798968771086</v>
      </c>
      <c r="N28" s="25">
        <f>'Expansion Deposit'!T27</f>
        <v>8110.4959348683387</v>
      </c>
    </row>
    <row r="29" spans="1:14" x14ac:dyDescent="0.2">
      <c r="A29" s="4">
        <f>'NPV Cash Flow Anal'!A29</f>
        <v>2044</v>
      </c>
      <c r="B29" s="62">
        <f t="shared" si="3"/>
        <v>3251.8503357696</v>
      </c>
      <c r="C29" s="62">
        <f t="shared" si="4"/>
        <v>2538.806220984507</v>
      </c>
      <c r="D29" s="62">
        <f t="shared" si="5"/>
        <v>0</v>
      </c>
      <c r="E29" s="62">
        <f>'CCA &amp; Cap Tax'!BO38</f>
        <v>0</v>
      </c>
      <c r="F29" s="62">
        <f>'Dep''n &amp; Int'!CN38</f>
        <v>285.72258488174998</v>
      </c>
      <c r="G29" s="62">
        <f>'CCA &amp; Cap Tax'!BJ38</f>
        <v>684.36630528626506</v>
      </c>
      <c r="H29" s="62">
        <f t="shared" si="0"/>
        <v>427.32152990334293</v>
      </c>
      <c r="I29" s="40">
        <f t="shared" si="6"/>
        <v>0.26500000000000001</v>
      </c>
      <c r="J29" s="62">
        <f t="shared" si="7"/>
        <v>113.24020542438588</v>
      </c>
      <c r="L29" s="241">
        <f t="shared" si="2"/>
        <v>181.35707090086024</v>
      </c>
      <c r="M29" s="25">
        <f>'Expansion Deposit'!S28</f>
        <v>66.474250222449569</v>
      </c>
      <c r="N29" s="25">
        <f>'Expansion Deposit'!T28</f>
        <v>8176.9701850907886</v>
      </c>
    </row>
    <row r="30" spans="1:14" x14ac:dyDescent="0.2">
      <c r="A30" s="4">
        <f>'NPV Cash Flow Anal'!A30</f>
        <v>2045</v>
      </c>
      <c r="B30" s="62">
        <f t="shared" si="3"/>
        <v>3251.8503357696</v>
      </c>
      <c r="C30" s="62">
        <f t="shared" si="4"/>
        <v>2538.806220984507</v>
      </c>
      <c r="D30" s="62">
        <f t="shared" si="5"/>
        <v>0</v>
      </c>
      <c r="E30" s="62">
        <f>'CCA &amp; Cap Tax'!BO39</f>
        <v>0</v>
      </c>
      <c r="F30" s="62">
        <f>'Dep''n &amp; Int'!CN39</f>
        <v>259.40951003205004</v>
      </c>
      <c r="G30" s="62">
        <f>'CCA &amp; Cap Tax'!BJ39</f>
        <v>629.61700086336373</v>
      </c>
      <c r="H30" s="62">
        <f t="shared" si="0"/>
        <v>453.63460475304288</v>
      </c>
      <c r="I30" s="40">
        <f t="shared" si="6"/>
        <v>0.26500000000000001</v>
      </c>
      <c r="J30" s="62">
        <f t="shared" si="7"/>
        <v>120.21317025955636</v>
      </c>
      <c r="L30" s="241">
        <f t="shared" si="2"/>
        <v>166.8485052287914</v>
      </c>
      <c r="M30" s="25">
        <f>'Expansion Deposit'!S29</f>
        <v>58.488917283067579</v>
      </c>
      <c r="N30" s="25">
        <f>'Expansion Deposit'!T29</f>
        <v>8235.4591023738558</v>
      </c>
    </row>
    <row r="31" spans="1:14" x14ac:dyDescent="0.2">
      <c r="A31" s="4">
        <f>'NPV Cash Flow Anal'!A31</f>
        <v>2046</v>
      </c>
      <c r="B31" s="62">
        <f t="shared" si="3"/>
        <v>3251.8503357696</v>
      </c>
      <c r="C31" s="62">
        <f t="shared" si="4"/>
        <v>2538.806220984507</v>
      </c>
      <c r="D31" s="62">
        <f t="shared" si="5"/>
        <v>0</v>
      </c>
      <c r="E31" s="62">
        <f>'CCA &amp; Cap Tax'!BO40</f>
        <v>0</v>
      </c>
      <c r="F31" s="62">
        <f>'Dep''n &amp; Int'!CN40</f>
        <v>233.09643518234998</v>
      </c>
      <c r="G31" s="62">
        <f>'CCA &amp; Cap Tax'!BJ40</f>
        <v>579.24764079429474</v>
      </c>
      <c r="H31" s="62">
        <f t="shared" si="0"/>
        <v>479.94767960274294</v>
      </c>
      <c r="I31" s="40">
        <f t="shared" si="6"/>
        <v>0.26500000000000001</v>
      </c>
      <c r="J31" s="62">
        <f t="shared" si="7"/>
        <v>127.18613509472688</v>
      </c>
      <c r="L31" s="241">
        <f t="shared" si="2"/>
        <v>153.50062481048812</v>
      </c>
      <c r="M31" s="25">
        <f>'Expansion Deposit'!S30</f>
        <v>51.462836113196261</v>
      </c>
      <c r="N31" s="25">
        <f>'Expansion Deposit'!T30</f>
        <v>8286.9219384870521</v>
      </c>
    </row>
    <row r="33" spans="5:14" x14ac:dyDescent="0.2">
      <c r="E33" s="141" t="s">
        <v>187</v>
      </c>
      <c r="F33" s="142"/>
      <c r="G33" s="242">
        <f>SUM(G7:G32)</f>
        <v>44670.04213086563</v>
      </c>
      <c r="H33" s="242">
        <f>SUM(H7:H32)</f>
        <v>3356.2062247570707</v>
      </c>
      <c r="I33" s="242"/>
      <c r="J33" s="242">
        <f>SUM(J7:J32)</f>
        <v>889.39464956062363</v>
      </c>
      <c r="K33" s="242"/>
      <c r="L33" s="242">
        <f>SUM(L7:L32)</f>
        <v>11837.56116467939</v>
      </c>
      <c r="M33" s="25"/>
      <c r="N33" s="25">
        <f>L33-N31</f>
        <v>3550.6392261923374</v>
      </c>
    </row>
    <row r="35" spans="5:14" x14ac:dyDescent="0.2">
      <c r="L35" s="225">
        <f>'Contribution CCA &amp; Cap Tax'!H54</f>
        <v>-5181.1715316416676</v>
      </c>
    </row>
  </sheetData>
  <phoneticPr fontId="0" type="noConversion"/>
  <pageMargins left="0.75" right="0.75" top="1" bottom="1" header="0.5" footer="0.5"/>
  <pageSetup orientation="portrait" horizontalDpi="1200" verticalDpi="1200"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9"/>
  <sheetViews>
    <sheetView zoomScaleNormal="100" workbookViewId="0">
      <selection activeCell="D6" sqref="D6"/>
    </sheetView>
  </sheetViews>
  <sheetFormatPr defaultRowHeight="12.75" x14ac:dyDescent="0.2"/>
  <cols>
    <col min="1" max="5" width="12.7109375" customWidth="1"/>
    <col min="6" max="6" width="5.7109375" customWidth="1"/>
    <col min="7" max="16" width="12.7109375" customWidth="1"/>
    <col min="17" max="17" width="5.7109375" customWidth="1"/>
    <col min="18" max="20" width="12.7109375" customWidth="1"/>
  </cols>
  <sheetData>
    <row r="1" spans="1:20" ht="23.25" x14ac:dyDescent="0.35">
      <c r="A1" s="43" t="str">
        <f>'Table of Contents'!A1</f>
        <v>Expansion - Economic Evaluation Model 2022</v>
      </c>
    </row>
    <row r="4" spans="1:20" x14ac:dyDescent="0.2">
      <c r="A4" s="385" t="s">
        <v>130</v>
      </c>
      <c r="B4" s="385"/>
      <c r="C4" s="385"/>
      <c r="D4" s="385"/>
      <c r="E4" s="385"/>
      <c r="G4" s="385" t="s">
        <v>131</v>
      </c>
      <c r="H4" s="385"/>
      <c r="I4" s="385"/>
      <c r="J4" s="385"/>
      <c r="K4" s="385"/>
      <c r="L4" s="385"/>
      <c r="M4" s="385"/>
      <c r="N4" s="385"/>
      <c r="O4" s="385"/>
      <c r="P4" s="385"/>
    </row>
    <row r="5" spans="1:20" ht="51" customHeight="1" x14ac:dyDescent="0.2">
      <c r="A5" s="14" t="s">
        <v>8</v>
      </c>
      <c r="B5" s="50" t="s">
        <v>7</v>
      </c>
      <c r="C5" s="51" t="s">
        <v>126</v>
      </c>
      <c r="D5" s="51" t="s">
        <v>129</v>
      </c>
      <c r="E5" s="51" t="s">
        <v>11</v>
      </c>
      <c r="G5" s="14" t="s">
        <v>8</v>
      </c>
      <c r="H5" s="51" t="s">
        <v>69</v>
      </c>
      <c r="I5" s="50" t="s">
        <v>217</v>
      </c>
      <c r="J5" s="51" t="s">
        <v>54</v>
      </c>
      <c r="K5" s="51" t="s">
        <v>12</v>
      </c>
      <c r="L5" s="52" t="s">
        <v>76</v>
      </c>
      <c r="M5" s="50" t="s">
        <v>35</v>
      </c>
      <c r="N5" s="51" t="s">
        <v>126</v>
      </c>
      <c r="O5" s="51" t="s">
        <v>129</v>
      </c>
      <c r="P5" s="51" t="s">
        <v>11</v>
      </c>
      <c r="R5" s="75" t="s">
        <v>188</v>
      </c>
      <c r="S5" s="75" t="s">
        <v>189</v>
      </c>
      <c r="T5" s="75" t="s">
        <v>190</v>
      </c>
    </row>
    <row r="6" spans="1:20" x14ac:dyDescent="0.2">
      <c r="A6">
        <f>'Baseline Inputs'!C8</f>
        <v>2022</v>
      </c>
      <c r="B6" s="233">
        <f>'Revenue '!L329</f>
        <v>2373.12</v>
      </c>
      <c r="C6" s="41">
        <f>'Mid Year PV Factor'!B18</f>
        <v>1.02280255</v>
      </c>
      <c r="D6" s="233">
        <f>B6/C6</f>
        <v>2320.2132219948026</v>
      </c>
      <c r="E6" s="25">
        <f>D6</f>
        <v>2320.2132219948026</v>
      </c>
      <c r="G6">
        <f>A6</f>
        <v>2022</v>
      </c>
      <c r="H6" s="25">
        <f>'Baseline Inputs'!B231</f>
        <v>51331.39</v>
      </c>
      <c r="I6" s="25">
        <f>OMADI!E97</f>
        <v>2031.0449767876057</v>
      </c>
      <c r="J6" s="25">
        <f>'Municipal Tax'!E7</f>
        <v>0</v>
      </c>
      <c r="K6" s="25">
        <f>'CCA &amp; Cap Tax'!BO16</f>
        <v>0</v>
      </c>
      <c r="L6" s="25">
        <f>'Income Tax &amp; CCA Tax Shield'!J7</f>
        <v>-138.47183021613037</v>
      </c>
      <c r="M6" s="25">
        <f>SUM(H6:L6)</f>
        <v>53223.963146571477</v>
      </c>
      <c r="N6" s="41">
        <f>C6</f>
        <v>1.02280255</v>
      </c>
      <c r="O6" s="233">
        <f>M6/N6</f>
        <v>52037.37822766621</v>
      </c>
      <c r="P6" s="25">
        <f>O6</f>
        <v>52037.37822766621</v>
      </c>
      <c r="R6" s="25">
        <f>'Income Tax &amp; CCA Tax Shield'!L7</f>
        <v>544.11273400000005</v>
      </c>
      <c r="S6" s="25">
        <f>R6/N6</f>
        <v>531.9821836580287</v>
      </c>
      <c r="T6" s="25">
        <f>S6</f>
        <v>531.9821836580287</v>
      </c>
    </row>
    <row r="7" spans="1:20" x14ac:dyDescent="0.2">
      <c r="A7">
        <f>A6+1</f>
        <v>2023</v>
      </c>
      <c r="B7" s="233">
        <f>'Revenue '!L330</f>
        <v>3064.2911999999997</v>
      </c>
      <c r="C7" s="41">
        <f>'Mid Year PV Factor'!C18</f>
        <v>1.0694475625730049</v>
      </c>
      <c r="D7" s="233">
        <f t="shared" ref="D7:D30" si="0">B7/C7</f>
        <v>2865.3028977199792</v>
      </c>
      <c r="E7" s="25">
        <f>D7+E6</f>
        <v>5185.5161197147818</v>
      </c>
      <c r="G7">
        <f t="shared" ref="G7:G30" si="1">A7</f>
        <v>2023</v>
      </c>
      <c r="H7" s="25">
        <f>'Baseline Inputs'!C231</f>
        <v>0</v>
      </c>
      <c r="I7" s="25">
        <f>OMADI!E98</f>
        <v>2538.806220984507</v>
      </c>
      <c r="J7" s="25">
        <f>'Municipal Tax'!E8</f>
        <v>0</v>
      </c>
      <c r="K7" s="25">
        <f>'CCA &amp; Cap Tax'!BO17</f>
        <v>0</v>
      </c>
      <c r="L7" s="25">
        <f>'Income Tax &amp; CCA Tax Shield'!J8</f>
        <v>-82.895227093138743</v>
      </c>
      <c r="M7" s="25">
        <f t="shared" ref="M7:M30" si="2">SUM(H7:L7)</f>
        <v>2455.9109938913684</v>
      </c>
      <c r="N7" s="41">
        <f t="shared" ref="N7:N30" si="3">C7</f>
        <v>1.0694475625730049</v>
      </c>
      <c r="O7" s="233">
        <f t="shared" ref="O7:O30" si="4">M7/N7</f>
        <v>2296.4295584372962</v>
      </c>
      <c r="P7" s="25">
        <f>O7+P6</f>
        <v>54333.807786103505</v>
      </c>
      <c r="R7" s="25">
        <f>'Income Tax &amp; CCA Tax Shield'!L8</f>
        <v>1044.69644928</v>
      </c>
      <c r="S7" s="25">
        <f t="shared" ref="S7:S30" si="5">R7/N7</f>
        <v>976.85616933526342</v>
      </c>
      <c r="T7" s="25">
        <f>S7+T6</f>
        <v>1508.8383529932921</v>
      </c>
    </row>
    <row r="8" spans="1:20" x14ac:dyDescent="0.2">
      <c r="A8">
        <f t="shared" ref="A8:A30" si="6">A7+1</f>
        <v>2024</v>
      </c>
      <c r="B8" s="233">
        <f>'Revenue '!L331</f>
        <v>3125.5770239999997</v>
      </c>
      <c r="C8" s="41">
        <f>'Mid Year PV Factor'!D18</f>
        <v>1.1182198256089029</v>
      </c>
      <c r="D8" s="233">
        <f t="shared" si="0"/>
        <v>2795.1364771216008</v>
      </c>
      <c r="E8" s="25">
        <f>D8+E7</f>
        <v>7980.6525968363821</v>
      </c>
      <c r="G8">
        <f t="shared" si="1"/>
        <v>2024</v>
      </c>
      <c r="H8" s="25">
        <f>'Baseline Inputs'!D231</f>
        <v>0</v>
      </c>
      <c r="I8" s="25">
        <f>OMADI!E99</f>
        <v>2538.806220984507</v>
      </c>
      <c r="J8" s="25">
        <f>'Municipal Tax'!E9</f>
        <v>0</v>
      </c>
      <c r="K8" s="25">
        <f>'CCA &amp; Cap Tax'!BO18</f>
        <v>0</v>
      </c>
      <c r="L8" s="25">
        <f>'Income Tax &amp; CCA Tax Shield'!J9</f>
        <v>-59.681518897968253</v>
      </c>
      <c r="M8" s="25">
        <f t="shared" si="2"/>
        <v>2479.1247020865389</v>
      </c>
      <c r="N8" s="41">
        <f t="shared" si="3"/>
        <v>1.1182198256089029</v>
      </c>
      <c r="O8" s="233">
        <f t="shared" si="4"/>
        <v>2217.0280344802368</v>
      </c>
      <c r="P8" s="25">
        <f>O8+P7</f>
        <v>56550.835820583743</v>
      </c>
      <c r="R8" s="25">
        <f>'Income Tax &amp; CCA Tax Shield'!L9</f>
        <v>961.12073333760009</v>
      </c>
      <c r="S8" s="25">
        <f t="shared" si="5"/>
        <v>859.50965215112524</v>
      </c>
      <c r="T8" s="25">
        <f t="shared" ref="T8:T29" si="7">S8+T7</f>
        <v>2368.3480051444176</v>
      </c>
    </row>
    <row r="9" spans="1:20" x14ac:dyDescent="0.2">
      <c r="A9">
        <f t="shared" si="6"/>
        <v>2025</v>
      </c>
      <c r="B9" s="233">
        <f>'Revenue '!L332</f>
        <v>3188.0885644800001</v>
      </c>
      <c r="C9" s="41">
        <f>'Mid Year PV Factor'!E18</f>
        <v>1.1692163525777794</v>
      </c>
      <c r="D9" s="233">
        <f t="shared" si="0"/>
        <v>2726.6883134598647</v>
      </c>
      <c r="E9" s="25">
        <f t="shared" ref="E9:E30" si="8">D9+E8</f>
        <v>10707.340910296247</v>
      </c>
      <c r="G9">
        <f t="shared" si="1"/>
        <v>2025</v>
      </c>
      <c r="H9" s="25">
        <f>'Baseline Inputs'!E231</f>
        <v>0</v>
      </c>
      <c r="I9" s="25">
        <f>OMADI!E100</f>
        <v>2538.806220984507</v>
      </c>
      <c r="J9" s="25">
        <f>'Municipal Tax'!E10</f>
        <v>0</v>
      </c>
      <c r="K9" s="25">
        <f>'CCA &amp; Cap Tax'!BO19</f>
        <v>0</v>
      </c>
      <c r="L9" s="25">
        <f>'Income Tax &amp; CCA Tax Shield'!J10</f>
        <v>-36.142995835597659</v>
      </c>
      <c r="M9" s="25">
        <f t="shared" si="2"/>
        <v>2502.6632251489095</v>
      </c>
      <c r="N9" s="41">
        <f t="shared" si="3"/>
        <v>1.1692163525777794</v>
      </c>
      <c r="O9" s="233">
        <f t="shared" si="4"/>
        <v>2140.4620450537409</v>
      </c>
      <c r="P9" s="25">
        <f t="shared" ref="P9:P30" si="9">O9+P8</f>
        <v>58691.297865637483</v>
      </c>
      <c r="R9" s="25">
        <f>'Income Tax &amp; CCA Tax Shield'!L10</f>
        <v>884.23107467059219</v>
      </c>
      <c r="S9" s="25">
        <f t="shared" si="5"/>
        <v>756.25958593644521</v>
      </c>
      <c r="T9" s="25">
        <f t="shared" si="7"/>
        <v>3124.6075910808627</v>
      </c>
    </row>
    <row r="10" spans="1:20" x14ac:dyDescent="0.2">
      <c r="A10">
        <f t="shared" si="6"/>
        <v>2026</v>
      </c>
      <c r="B10" s="233">
        <f>'Revenue '!L333</f>
        <v>3251.8503357696</v>
      </c>
      <c r="C10" s="41">
        <f>'Mid Year PV Factor'!F18</f>
        <v>1.2225385812587244</v>
      </c>
      <c r="D10" s="233">
        <f t="shared" si="0"/>
        <v>2659.9163295292474</v>
      </c>
      <c r="E10" s="25">
        <f t="shared" si="8"/>
        <v>13367.257239825494</v>
      </c>
      <c r="G10">
        <f t="shared" si="1"/>
        <v>2026</v>
      </c>
      <c r="H10" s="25">
        <f>'Baseline Inputs'!F231</f>
        <v>0</v>
      </c>
      <c r="I10" s="25">
        <f>OMADI!E101</f>
        <v>2538.806220984507</v>
      </c>
      <c r="J10" s="25">
        <f>'Municipal Tax'!E11</f>
        <v>0</v>
      </c>
      <c r="K10" s="25">
        <f>'CCA &amp; Cap Tax'!BO20</f>
        <v>0</v>
      </c>
      <c r="L10" s="25">
        <f>'Income Tax &amp; CCA Tax Shield'!J11</f>
        <v>-12.273161608683159</v>
      </c>
      <c r="M10" s="25">
        <f t="shared" si="2"/>
        <v>2526.533059375824</v>
      </c>
      <c r="N10" s="41">
        <f t="shared" si="3"/>
        <v>1.2225385812587244</v>
      </c>
      <c r="O10" s="233">
        <f t="shared" si="4"/>
        <v>2066.6284877279768</v>
      </c>
      <c r="P10" s="25">
        <f t="shared" si="9"/>
        <v>60757.926353365459</v>
      </c>
      <c r="R10" s="25">
        <f>'Income Tax &amp; CCA Tax Shield'!L11</f>
        <v>813.49258869694472</v>
      </c>
      <c r="S10" s="25">
        <f t="shared" si="5"/>
        <v>665.41261042197425</v>
      </c>
      <c r="T10" s="25">
        <f t="shared" si="7"/>
        <v>3790.0202015028372</v>
      </c>
    </row>
    <row r="11" spans="1:20" x14ac:dyDescent="0.2">
      <c r="A11">
        <f t="shared" si="6"/>
        <v>2027</v>
      </c>
      <c r="B11" s="233">
        <f t="shared" ref="B11:B30" si="10">B10</f>
        <v>3251.8503357696</v>
      </c>
      <c r="C11" s="41">
        <f>'Mid Year PV Factor'!G18</f>
        <v>1.2782925755108865</v>
      </c>
      <c r="D11" s="233">
        <f t="shared" si="0"/>
        <v>2543.9014495331439</v>
      </c>
      <c r="E11" s="25">
        <f t="shared" si="8"/>
        <v>15911.158689358639</v>
      </c>
      <c r="G11">
        <f t="shared" si="1"/>
        <v>2027</v>
      </c>
      <c r="H11" s="25"/>
      <c r="I11" s="25">
        <f>I10</f>
        <v>2538.806220984507</v>
      </c>
      <c r="J11" s="25">
        <f>J10</f>
        <v>0</v>
      </c>
      <c r="K11" s="25">
        <f>'CCA &amp; Cap Tax'!BO21</f>
        <v>0</v>
      </c>
      <c r="L11" s="25">
        <f>'Income Tax &amp; CCA Tax Shield'!J12</f>
        <v>-5.3001967735126287</v>
      </c>
      <c r="M11" s="25">
        <f t="shared" si="2"/>
        <v>2533.5060242109944</v>
      </c>
      <c r="N11" s="41">
        <f t="shared" si="3"/>
        <v>1.2782925755108865</v>
      </c>
      <c r="O11" s="233">
        <f t="shared" si="4"/>
        <v>1981.9453486213399</v>
      </c>
      <c r="P11" s="25">
        <f t="shared" si="9"/>
        <v>62739.871701986798</v>
      </c>
      <c r="R11" s="25">
        <f>'Income Tax &amp; CCA Tax Shield'!L12</f>
        <v>748.41318160118931</v>
      </c>
      <c r="S11" s="25">
        <f t="shared" si="5"/>
        <v>585.47878313544618</v>
      </c>
      <c r="T11" s="25">
        <f t="shared" si="7"/>
        <v>4375.4989846382832</v>
      </c>
    </row>
    <row r="12" spans="1:20" x14ac:dyDescent="0.2">
      <c r="A12">
        <f t="shared" si="6"/>
        <v>2028</v>
      </c>
      <c r="B12" s="233">
        <f t="shared" si="10"/>
        <v>3251.8503357696</v>
      </c>
      <c r="C12" s="41">
        <f>'Mid Year PV Factor'!H18</f>
        <v>1.3365892362463179</v>
      </c>
      <c r="D12" s="233">
        <f t="shared" si="0"/>
        <v>2432.9466732068772</v>
      </c>
      <c r="E12" s="25">
        <f t="shared" si="8"/>
        <v>18344.105362565515</v>
      </c>
      <c r="G12">
        <f t="shared" si="1"/>
        <v>2028</v>
      </c>
      <c r="H12" s="25"/>
      <c r="I12" s="25">
        <f t="shared" ref="I12:I30" si="11">I11</f>
        <v>2538.806220984507</v>
      </c>
      <c r="J12" s="25">
        <f t="shared" ref="J12:J30" si="12">J11</f>
        <v>0</v>
      </c>
      <c r="K12" s="25">
        <f>'CCA &amp; Cap Tax'!BO22</f>
        <v>0</v>
      </c>
      <c r="L12" s="25">
        <f>'Income Tax &amp; CCA Tax Shield'!J13</f>
        <v>1.672768061657812</v>
      </c>
      <c r="M12" s="25">
        <f t="shared" si="2"/>
        <v>2540.4789890461648</v>
      </c>
      <c r="N12" s="41">
        <f t="shared" si="3"/>
        <v>1.3365892362463179</v>
      </c>
      <c r="O12" s="233">
        <f t="shared" si="4"/>
        <v>1900.7178272517406</v>
      </c>
      <c r="P12" s="25">
        <f t="shared" si="9"/>
        <v>64640.589529238539</v>
      </c>
      <c r="R12" s="25">
        <f>'Income Tax &amp; CCA Tax Shield'!L13</f>
        <v>688.54012707309414</v>
      </c>
      <c r="S12" s="25">
        <f t="shared" si="5"/>
        <v>515.14714349098961</v>
      </c>
      <c r="T12" s="25">
        <f t="shared" si="7"/>
        <v>4890.6461281292732</v>
      </c>
    </row>
    <row r="13" spans="1:20" x14ac:dyDescent="0.2">
      <c r="A13">
        <f t="shared" si="6"/>
        <v>2029</v>
      </c>
      <c r="B13" s="233">
        <f t="shared" si="10"/>
        <v>3251.8503357696</v>
      </c>
      <c r="C13" s="41">
        <f>'Mid Year PV Factor'!I18</f>
        <v>1.3975445220242548</v>
      </c>
      <c r="D13" s="233">
        <f t="shared" si="0"/>
        <v>2326.8312991270577</v>
      </c>
      <c r="E13" s="25">
        <f t="shared" si="8"/>
        <v>20670.936661692573</v>
      </c>
      <c r="G13">
        <f t="shared" si="1"/>
        <v>2029</v>
      </c>
      <c r="H13" s="25"/>
      <c r="I13" s="25">
        <f t="shared" si="11"/>
        <v>2538.806220984507</v>
      </c>
      <c r="J13" s="25">
        <f t="shared" si="12"/>
        <v>0</v>
      </c>
      <c r="K13" s="25">
        <f>'CCA &amp; Cap Tax'!BO23</f>
        <v>0</v>
      </c>
      <c r="L13" s="25">
        <f>'Income Tax &amp; CCA Tax Shield'!J14</f>
        <v>8.6457328968282816</v>
      </c>
      <c r="M13" s="25">
        <f t="shared" si="2"/>
        <v>2547.4519538813352</v>
      </c>
      <c r="N13" s="41">
        <f t="shared" si="3"/>
        <v>1.3975445220242548</v>
      </c>
      <c r="O13" s="233">
        <f t="shared" si="4"/>
        <v>1822.8055805989725</v>
      </c>
      <c r="P13" s="25">
        <f t="shared" si="9"/>
        <v>66463.395109837511</v>
      </c>
      <c r="R13" s="25">
        <f>'Income Tax &amp; CCA Tax Shield'!L14</f>
        <v>633.45691690724652</v>
      </c>
      <c r="S13" s="25">
        <f t="shared" si="5"/>
        <v>453.26421228407395</v>
      </c>
      <c r="T13" s="25">
        <f t="shared" si="7"/>
        <v>5343.9103404133475</v>
      </c>
    </row>
    <row r="14" spans="1:20" x14ac:dyDescent="0.2">
      <c r="A14">
        <f t="shared" si="6"/>
        <v>2030</v>
      </c>
      <c r="B14" s="233">
        <f t="shared" si="10"/>
        <v>3251.8503357696</v>
      </c>
      <c r="C14" s="41">
        <f>'Mid Year PV Factor'!J18</f>
        <v>1.4612796797056231</v>
      </c>
      <c r="D14" s="233">
        <f t="shared" si="0"/>
        <v>2225.3442519810374</v>
      </c>
      <c r="E14" s="25">
        <f t="shared" si="8"/>
        <v>22896.28091367361</v>
      </c>
      <c r="G14">
        <f t="shared" si="1"/>
        <v>2030</v>
      </c>
      <c r="H14" s="25"/>
      <c r="I14" s="25">
        <f t="shared" si="11"/>
        <v>2538.806220984507</v>
      </c>
      <c r="J14" s="25">
        <f t="shared" si="12"/>
        <v>0</v>
      </c>
      <c r="K14" s="25">
        <f>'CCA &amp; Cap Tax'!BO24</f>
        <v>0</v>
      </c>
      <c r="L14" s="25">
        <f>'Income Tax &amp; CCA Tax Shield'!J15</f>
        <v>15.618697731998843</v>
      </c>
      <c r="M14" s="25">
        <f t="shared" si="2"/>
        <v>2554.424918716506</v>
      </c>
      <c r="N14" s="41">
        <f t="shared" si="3"/>
        <v>1.4612796797056231</v>
      </c>
      <c r="O14" s="233">
        <f t="shared" si="4"/>
        <v>1748.073934232151</v>
      </c>
      <c r="P14" s="25">
        <f t="shared" si="9"/>
        <v>68211.469044069658</v>
      </c>
      <c r="R14" s="25">
        <f>'Income Tax &amp; CCA Tax Shield'!L15</f>
        <v>582.78036355466679</v>
      </c>
      <c r="S14" s="25">
        <f t="shared" si="5"/>
        <v>398.81507397137608</v>
      </c>
      <c r="T14" s="25">
        <f t="shared" si="7"/>
        <v>5742.725414384724</v>
      </c>
    </row>
    <row r="15" spans="1:20" x14ac:dyDescent="0.2">
      <c r="A15">
        <f t="shared" si="6"/>
        <v>2031</v>
      </c>
      <c r="B15" s="233">
        <f t="shared" si="10"/>
        <v>3251.8503357696</v>
      </c>
      <c r="C15" s="41">
        <f>'Mid Year PV Factor'!K18</f>
        <v>1.5279214856265659</v>
      </c>
      <c r="D15" s="233">
        <f t="shared" si="0"/>
        <v>2128.2836627145734</v>
      </c>
      <c r="E15" s="25">
        <f t="shared" si="8"/>
        <v>25024.564576388184</v>
      </c>
      <c r="G15">
        <f t="shared" si="1"/>
        <v>2031</v>
      </c>
      <c r="H15" s="25"/>
      <c r="I15" s="25">
        <f t="shared" si="11"/>
        <v>2538.806220984507</v>
      </c>
      <c r="J15" s="25">
        <f t="shared" si="12"/>
        <v>0</v>
      </c>
      <c r="K15" s="25">
        <f>'CCA &amp; Cap Tax'!BO25</f>
        <v>0</v>
      </c>
      <c r="L15" s="25">
        <f>'Income Tax &amp; CCA Tax Shield'!J16</f>
        <v>22.591662567169344</v>
      </c>
      <c r="M15" s="25">
        <f t="shared" si="2"/>
        <v>2561.3978835516764</v>
      </c>
      <c r="N15" s="41">
        <f t="shared" si="3"/>
        <v>1.5279214856265659</v>
      </c>
      <c r="O15" s="233">
        <f t="shared" si="4"/>
        <v>1676.3936548096287</v>
      </c>
      <c r="P15" s="25">
        <f t="shared" si="9"/>
        <v>69887.862698879282</v>
      </c>
      <c r="R15" s="25">
        <f>'Income Tax &amp; CCA Tax Shield'!L16</f>
        <v>536.15793447029353</v>
      </c>
      <c r="S15" s="25">
        <f t="shared" si="5"/>
        <v>350.90673147411587</v>
      </c>
      <c r="T15" s="25">
        <f t="shared" si="7"/>
        <v>6093.63214585884</v>
      </c>
    </row>
    <row r="16" spans="1:20" x14ac:dyDescent="0.2">
      <c r="A16">
        <f t="shared" si="6"/>
        <v>2032</v>
      </c>
      <c r="B16" s="233">
        <f t="shared" si="10"/>
        <v>3251.8503357696</v>
      </c>
      <c r="C16" s="41">
        <f>'Mid Year PV Factor'!L18</f>
        <v>1.5976024977707139</v>
      </c>
      <c r="D16" s="233">
        <f t="shared" si="0"/>
        <v>2035.4564669917672</v>
      </c>
      <c r="E16" s="25">
        <f t="shared" si="8"/>
        <v>27060.021043379951</v>
      </c>
      <c r="G16">
        <f t="shared" si="1"/>
        <v>2032</v>
      </c>
      <c r="H16" s="25"/>
      <c r="I16" s="25">
        <f t="shared" si="11"/>
        <v>2538.806220984507</v>
      </c>
      <c r="J16" s="25">
        <f t="shared" si="12"/>
        <v>0</v>
      </c>
      <c r="K16" s="25">
        <f>'CCA &amp; Cap Tax'!BO26</f>
        <v>0</v>
      </c>
      <c r="L16" s="25">
        <f>'Income Tax &amp; CCA Tax Shield'!J17</f>
        <v>29.564627402339845</v>
      </c>
      <c r="M16" s="25">
        <f t="shared" si="2"/>
        <v>2568.3708483868468</v>
      </c>
      <c r="N16" s="41">
        <f t="shared" si="3"/>
        <v>1.5976024977707139</v>
      </c>
      <c r="O16" s="233">
        <f t="shared" si="4"/>
        <v>1607.6407316405287</v>
      </c>
      <c r="P16" s="25">
        <f t="shared" si="9"/>
        <v>71495.503430519806</v>
      </c>
      <c r="R16" s="25">
        <f>'Income Tax &amp; CCA Tax Shield'!L17</f>
        <v>493.26529971267001</v>
      </c>
      <c r="S16" s="25">
        <f t="shared" si="5"/>
        <v>308.7534605140952</v>
      </c>
      <c r="T16" s="25">
        <f t="shared" si="7"/>
        <v>6402.3856063729354</v>
      </c>
    </row>
    <row r="17" spans="1:20" x14ac:dyDescent="0.2">
      <c r="A17">
        <f t="shared" si="6"/>
        <v>2033</v>
      </c>
      <c r="B17" s="233">
        <f t="shared" si="10"/>
        <v>3251.8503357696</v>
      </c>
      <c r="C17" s="41">
        <f>'Mid Year PV Factor'!M18</f>
        <v>1.670461319441797</v>
      </c>
      <c r="D17" s="233">
        <f t="shared" si="0"/>
        <v>1946.6780211685725</v>
      </c>
      <c r="E17" s="25">
        <f t="shared" si="8"/>
        <v>29006.699064548524</v>
      </c>
      <c r="G17">
        <f t="shared" si="1"/>
        <v>2033</v>
      </c>
      <c r="H17" s="25"/>
      <c r="I17" s="25">
        <f t="shared" si="11"/>
        <v>2538.806220984507</v>
      </c>
      <c r="J17" s="25">
        <f t="shared" si="12"/>
        <v>0</v>
      </c>
      <c r="K17" s="25">
        <f>'CCA &amp; Cap Tax'!BO27</f>
        <v>0</v>
      </c>
      <c r="L17" s="25">
        <f>'Income Tax &amp; CCA Tax Shield'!J18</f>
        <v>36.537592237510282</v>
      </c>
      <c r="M17" s="25">
        <f t="shared" si="2"/>
        <v>2575.3438132220172</v>
      </c>
      <c r="N17" s="41">
        <f t="shared" si="3"/>
        <v>1.670461319441797</v>
      </c>
      <c r="O17" s="233">
        <f t="shared" si="4"/>
        <v>1541.696166950215</v>
      </c>
      <c r="P17" s="25">
        <f t="shared" si="9"/>
        <v>73037.199597470026</v>
      </c>
      <c r="R17" s="25">
        <f>'Income Tax &amp; CCA Tax Shield'!L18</f>
        <v>453.8040757356564</v>
      </c>
      <c r="S17" s="25">
        <f t="shared" si="5"/>
        <v>271.66392328515576</v>
      </c>
      <c r="T17" s="25">
        <f t="shared" si="7"/>
        <v>6674.0495296580912</v>
      </c>
    </row>
    <row r="18" spans="1:20" x14ac:dyDescent="0.2">
      <c r="A18">
        <f t="shared" si="6"/>
        <v>2034</v>
      </c>
      <c r="B18" s="233">
        <f t="shared" si="10"/>
        <v>3251.8503357696</v>
      </c>
      <c r="C18" s="41">
        <f>'Mid Year PV Factor'!N18</f>
        <v>1.7466428749610721</v>
      </c>
      <c r="D18" s="233">
        <f t="shared" si="0"/>
        <v>1861.7717350159946</v>
      </c>
      <c r="E18" s="25">
        <f t="shared" si="8"/>
        <v>30868.470799564519</v>
      </c>
      <c r="G18">
        <f t="shared" si="1"/>
        <v>2034</v>
      </c>
      <c r="H18" s="25"/>
      <c r="I18" s="25">
        <f t="shared" si="11"/>
        <v>2538.806220984507</v>
      </c>
      <c r="J18" s="25">
        <f t="shared" si="12"/>
        <v>0</v>
      </c>
      <c r="K18" s="25">
        <f>'CCA &amp; Cap Tax'!BO28</f>
        <v>0</v>
      </c>
      <c r="L18" s="25">
        <f>'Income Tax &amp; CCA Tax Shield'!J19</f>
        <v>43.510557072680818</v>
      </c>
      <c r="M18" s="25">
        <f t="shared" si="2"/>
        <v>2582.316778057188</v>
      </c>
      <c r="N18" s="41">
        <f t="shared" si="3"/>
        <v>1.7466428749610721</v>
      </c>
      <c r="O18" s="233">
        <f t="shared" si="4"/>
        <v>1478.4457745059881</v>
      </c>
      <c r="P18" s="25">
        <f t="shared" si="9"/>
        <v>74515.645371976017</v>
      </c>
      <c r="R18" s="25">
        <f>'Income Tax &amp; CCA Tax Shield'!L19</f>
        <v>417.4997496768039</v>
      </c>
      <c r="S18" s="25">
        <f t="shared" si="5"/>
        <v>239.02983011687999</v>
      </c>
      <c r="T18" s="25">
        <f t="shared" si="7"/>
        <v>6913.0793597749707</v>
      </c>
    </row>
    <row r="19" spans="1:20" x14ac:dyDescent="0.2">
      <c r="A19">
        <f t="shared" si="6"/>
        <v>2035</v>
      </c>
      <c r="B19" s="233">
        <f t="shared" si="10"/>
        <v>3251.8503357696</v>
      </c>
      <c r="C19" s="41">
        <f>'Mid Year PV Factor'!O18</f>
        <v>1.8262986979379592</v>
      </c>
      <c r="D19" s="233">
        <f t="shared" si="0"/>
        <v>1780.5687204624332</v>
      </c>
      <c r="E19" s="25">
        <f t="shared" si="8"/>
        <v>32649.039520026952</v>
      </c>
      <c r="G19">
        <f t="shared" si="1"/>
        <v>2035</v>
      </c>
      <c r="H19" s="25"/>
      <c r="I19" s="25">
        <f t="shared" si="11"/>
        <v>2538.806220984507</v>
      </c>
      <c r="J19" s="25">
        <f t="shared" si="12"/>
        <v>0</v>
      </c>
      <c r="K19" s="25">
        <f>'CCA &amp; Cap Tax'!BO29</f>
        <v>0</v>
      </c>
      <c r="L19" s="25">
        <f>'Income Tax &amp; CCA Tax Shield'!J20</f>
        <v>50.483521907851348</v>
      </c>
      <c r="M19" s="25">
        <f t="shared" si="2"/>
        <v>2589.2897428923584</v>
      </c>
      <c r="N19" s="41">
        <f t="shared" si="3"/>
        <v>1.8262986979379592</v>
      </c>
      <c r="O19" s="233">
        <f t="shared" si="4"/>
        <v>1417.7799862727156</v>
      </c>
      <c r="P19" s="25">
        <f t="shared" si="9"/>
        <v>75933.425358248729</v>
      </c>
      <c r="R19" s="25">
        <f>'Income Tax &amp; CCA Tax Shield'!L20</f>
        <v>384.09976970265961</v>
      </c>
      <c r="S19" s="25">
        <f t="shared" si="5"/>
        <v>210.31596317532271</v>
      </c>
      <c r="T19" s="25">
        <f t="shared" si="7"/>
        <v>7123.3953229502931</v>
      </c>
    </row>
    <row r="20" spans="1:20" x14ac:dyDescent="0.2">
      <c r="A20">
        <f t="shared" si="6"/>
        <v>2036</v>
      </c>
      <c r="B20" s="233">
        <f t="shared" si="10"/>
        <v>3251.8503357696</v>
      </c>
      <c r="C20" s="41">
        <f>'Mid Year PV Factor'!P18</f>
        <v>1.9095872326872896</v>
      </c>
      <c r="D20" s="233">
        <f t="shared" si="0"/>
        <v>1702.9074556564742</v>
      </c>
      <c r="E20" s="25">
        <f t="shared" si="8"/>
        <v>34351.94697568343</v>
      </c>
      <c r="G20">
        <f t="shared" si="1"/>
        <v>2036</v>
      </c>
      <c r="H20" s="25"/>
      <c r="I20" s="25">
        <f t="shared" si="11"/>
        <v>2538.806220984507</v>
      </c>
      <c r="J20" s="25">
        <f t="shared" si="12"/>
        <v>0</v>
      </c>
      <c r="K20" s="25">
        <f>'CCA &amp; Cap Tax'!BO30</f>
        <v>0</v>
      </c>
      <c r="L20" s="25">
        <f>'Income Tax &amp; CCA Tax Shield'!J21</f>
        <v>57.456486743021848</v>
      </c>
      <c r="M20" s="25">
        <f t="shared" si="2"/>
        <v>2596.2627077275288</v>
      </c>
      <c r="N20" s="41">
        <f t="shared" si="3"/>
        <v>1.9095872326872896</v>
      </c>
      <c r="O20" s="233">
        <f t="shared" si="4"/>
        <v>1359.5936667810179</v>
      </c>
      <c r="P20" s="25">
        <f t="shared" si="9"/>
        <v>77293.019025029746</v>
      </c>
      <c r="R20" s="25">
        <f>'Income Tax &amp; CCA Tax Shield'!L21</f>
        <v>353.37178812644686</v>
      </c>
      <c r="S20" s="25">
        <f t="shared" si="5"/>
        <v>185.05139858374534</v>
      </c>
      <c r="T20" s="25">
        <f t="shared" si="7"/>
        <v>7308.4467215340383</v>
      </c>
    </row>
    <row r="21" spans="1:20" x14ac:dyDescent="0.2">
      <c r="A21">
        <f t="shared" si="6"/>
        <v>2037</v>
      </c>
      <c r="B21" s="233">
        <f t="shared" si="10"/>
        <v>3251.8503357696</v>
      </c>
      <c r="C21" s="41">
        <f>'Mid Year PV Factor'!Q18</f>
        <v>1.9966741493927167</v>
      </c>
      <c r="D21" s="233">
        <f t="shared" si="0"/>
        <v>1628.6334636819142</v>
      </c>
      <c r="E21" s="25">
        <f t="shared" si="8"/>
        <v>35980.580439365345</v>
      </c>
      <c r="G21">
        <f t="shared" si="1"/>
        <v>2037</v>
      </c>
      <c r="H21" s="25"/>
      <c r="I21" s="25">
        <f t="shared" si="11"/>
        <v>2538.806220984507</v>
      </c>
      <c r="J21" s="25">
        <f t="shared" si="12"/>
        <v>0</v>
      </c>
      <c r="K21" s="25">
        <f>'CCA &amp; Cap Tax'!BO31</f>
        <v>0</v>
      </c>
      <c r="L21" s="25">
        <f>'Income Tax &amp; CCA Tax Shield'!J22</f>
        <v>64.429451578192314</v>
      </c>
      <c r="M21" s="25">
        <f t="shared" si="2"/>
        <v>2603.2356725626992</v>
      </c>
      <c r="N21" s="41">
        <f t="shared" si="3"/>
        <v>1.9966741493927167</v>
      </c>
      <c r="O21" s="233">
        <f t="shared" si="4"/>
        <v>1303.7859349030318</v>
      </c>
      <c r="P21" s="25">
        <f t="shared" si="9"/>
        <v>78596.804959932779</v>
      </c>
      <c r="R21" s="25">
        <f>'Income Tax &amp; CCA Tax Shield'!L22</f>
        <v>325.10204507633108</v>
      </c>
      <c r="S21" s="25">
        <f t="shared" si="5"/>
        <v>162.82178300110212</v>
      </c>
      <c r="T21" s="25">
        <f t="shared" si="7"/>
        <v>7471.26850453514</v>
      </c>
    </row>
    <row r="22" spans="1:20" x14ac:dyDescent="0.2">
      <c r="A22">
        <f t="shared" si="6"/>
        <v>2038</v>
      </c>
      <c r="B22" s="233">
        <f t="shared" si="10"/>
        <v>3251.8503357696</v>
      </c>
      <c r="C22" s="41">
        <f>'Mid Year PV Factor'!R18</f>
        <v>2.0877326736431865</v>
      </c>
      <c r="D22" s="233">
        <f t="shared" si="0"/>
        <v>1557.5990052859479</v>
      </c>
      <c r="E22" s="25">
        <f t="shared" si="8"/>
        <v>37538.179444651294</v>
      </c>
      <c r="G22">
        <f t="shared" si="1"/>
        <v>2038</v>
      </c>
      <c r="H22" s="25"/>
      <c r="I22" s="25">
        <f t="shared" si="11"/>
        <v>2538.806220984507</v>
      </c>
      <c r="J22" s="25">
        <f t="shared" si="12"/>
        <v>0</v>
      </c>
      <c r="K22" s="25">
        <f>'CCA &amp; Cap Tax'!BO32</f>
        <v>0</v>
      </c>
      <c r="L22" s="25">
        <f>'Income Tax &amp; CCA Tax Shield'!J23</f>
        <v>71.402416413362843</v>
      </c>
      <c r="M22" s="25">
        <f t="shared" si="2"/>
        <v>2610.20863739787</v>
      </c>
      <c r="N22" s="41">
        <f t="shared" si="3"/>
        <v>2.0877326736431865</v>
      </c>
      <c r="O22" s="233">
        <f t="shared" si="4"/>
        <v>1250.2599927427202</v>
      </c>
      <c r="P22" s="25">
        <f t="shared" si="9"/>
        <v>79847.064952675501</v>
      </c>
      <c r="R22" s="25">
        <f>'Income Tax &amp; CCA Tax Shield'!L23</f>
        <v>299.09388147022463</v>
      </c>
      <c r="S22" s="25">
        <f t="shared" si="5"/>
        <v>143.26253798973815</v>
      </c>
      <c r="T22" s="25">
        <f t="shared" si="7"/>
        <v>7614.5310425248781</v>
      </c>
    </row>
    <row r="23" spans="1:20" x14ac:dyDescent="0.2">
      <c r="A23">
        <f t="shared" si="6"/>
        <v>2039</v>
      </c>
      <c r="B23" s="233">
        <f t="shared" si="10"/>
        <v>3251.8503357696</v>
      </c>
      <c r="C23" s="41">
        <f>'Mid Year PV Factor'!S18</f>
        <v>2.1829439309979515</v>
      </c>
      <c r="D23" s="233">
        <f t="shared" si="0"/>
        <v>1489.6627850093194</v>
      </c>
      <c r="E23" s="25">
        <f t="shared" si="8"/>
        <v>39027.842229660615</v>
      </c>
      <c r="G23">
        <f t="shared" si="1"/>
        <v>2039</v>
      </c>
      <c r="H23" s="25"/>
      <c r="I23" s="25">
        <f t="shared" si="11"/>
        <v>2538.806220984507</v>
      </c>
      <c r="J23" s="25">
        <f t="shared" si="12"/>
        <v>0</v>
      </c>
      <c r="K23" s="25">
        <f>'CCA &amp; Cap Tax'!BO33</f>
        <v>0</v>
      </c>
      <c r="L23" s="25">
        <f>'Income Tax &amp; CCA Tax Shield'!J24</f>
        <v>78.375381248533344</v>
      </c>
      <c r="M23" s="25">
        <f t="shared" si="2"/>
        <v>2617.1816022330404</v>
      </c>
      <c r="N23" s="41">
        <f t="shared" si="3"/>
        <v>2.1829439309979515</v>
      </c>
      <c r="O23" s="233">
        <f t="shared" si="4"/>
        <v>1198.9229613591465</v>
      </c>
      <c r="P23" s="25">
        <f t="shared" si="9"/>
        <v>81045.987914034646</v>
      </c>
      <c r="R23" s="25">
        <f>'Income Tax &amp; CCA Tax Shield'!L24</f>
        <v>275.16637095260666</v>
      </c>
      <c r="S23" s="25">
        <f t="shared" si="5"/>
        <v>126.05288072003388</v>
      </c>
      <c r="T23" s="25">
        <f t="shared" si="7"/>
        <v>7740.5839232449116</v>
      </c>
    </row>
    <row r="24" spans="1:20" x14ac:dyDescent="0.2">
      <c r="A24">
        <f t="shared" si="6"/>
        <v>2040</v>
      </c>
      <c r="B24" s="233">
        <f t="shared" si="10"/>
        <v>3251.8503357696</v>
      </c>
      <c r="C24" s="41">
        <f>'Mid Year PV Factor'!T18</f>
        <v>2.2824973072655061</v>
      </c>
      <c r="D24" s="233">
        <f t="shared" si="0"/>
        <v>1424.689670133896</v>
      </c>
      <c r="E24" s="25">
        <f t="shared" si="8"/>
        <v>40452.531899794514</v>
      </c>
      <c r="G24">
        <f t="shared" si="1"/>
        <v>2040</v>
      </c>
      <c r="H24" s="25"/>
      <c r="I24" s="25">
        <f t="shared" si="11"/>
        <v>2538.806220984507</v>
      </c>
      <c r="J24" s="25">
        <f t="shared" si="12"/>
        <v>0</v>
      </c>
      <c r="K24" s="25">
        <f>'CCA &amp; Cap Tax'!BO34</f>
        <v>0</v>
      </c>
      <c r="L24" s="25">
        <f>'Income Tax &amp; CCA Tax Shield'!J25</f>
        <v>85.348346083703845</v>
      </c>
      <c r="M24" s="25">
        <f t="shared" si="2"/>
        <v>2624.1545670682108</v>
      </c>
      <c r="N24" s="41">
        <f t="shared" si="3"/>
        <v>2.2824973072655061</v>
      </c>
      <c r="O24" s="233">
        <f t="shared" si="4"/>
        <v>1149.6857230521859</v>
      </c>
      <c r="P24" s="25">
        <f t="shared" si="9"/>
        <v>82195.673637086831</v>
      </c>
      <c r="R24" s="25">
        <f>'Income Tax &amp; CCA Tax Shield'!L25</f>
        <v>253.15306127639812</v>
      </c>
      <c r="S24" s="25">
        <f t="shared" si="5"/>
        <v>110.91056294812562</v>
      </c>
      <c r="T24" s="25">
        <f t="shared" si="7"/>
        <v>7851.4944861930371</v>
      </c>
    </row>
    <row r="25" spans="1:20" x14ac:dyDescent="0.2">
      <c r="A25">
        <f t="shared" si="6"/>
        <v>2041</v>
      </c>
      <c r="B25" s="233">
        <f t="shared" si="10"/>
        <v>3251.8503357696</v>
      </c>
      <c r="C25" s="41">
        <f>'Mid Year PV Factor'!U18</f>
        <v>2.3865908252130801</v>
      </c>
      <c r="D25" s="233">
        <f t="shared" si="0"/>
        <v>1362.5504218886233</v>
      </c>
      <c r="E25" s="25">
        <f t="shared" si="8"/>
        <v>41815.082321683134</v>
      </c>
      <c r="G25">
        <f t="shared" si="1"/>
        <v>2041</v>
      </c>
      <c r="H25" s="25"/>
      <c r="I25" s="25">
        <f t="shared" si="11"/>
        <v>2538.806220984507</v>
      </c>
      <c r="J25" s="25">
        <f t="shared" si="12"/>
        <v>0</v>
      </c>
      <c r="K25" s="25">
        <f>'CCA &amp; Cap Tax'!BO35</f>
        <v>0</v>
      </c>
      <c r="L25" s="25">
        <f>'Income Tax &amp; CCA Tax Shield'!J26</f>
        <v>92.32131091887436</v>
      </c>
      <c r="M25" s="25">
        <f t="shared" si="2"/>
        <v>2631.1275319033812</v>
      </c>
      <c r="N25" s="41">
        <f t="shared" si="3"/>
        <v>2.3865908252130801</v>
      </c>
      <c r="O25" s="233">
        <f t="shared" si="4"/>
        <v>1102.4627699507175</v>
      </c>
      <c r="P25" s="25">
        <f t="shared" si="9"/>
        <v>83298.136407037542</v>
      </c>
      <c r="R25" s="25">
        <f>'Income Tax &amp; CCA Tax Shield'!L26</f>
        <v>232.90081637428628</v>
      </c>
      <c r="S25" s="25">
        <f t="shared" si="5"/>
        <v>97.58724198292029</v>
      </c>
      <c r="T25" s="25">
        <f t="shared" si="7"/>
        <v>7949.0817281759573</v>
      </c>
    </row>
    <row r="26" spans="1:20" x14ac:dyDescent="0.2">
      <c r="A26">
        <f t="shared" si="6"/>
        <v>2042</v>
      </c>
      <c r="B26" s="233">
        <f t="shared" si="10"/>
        <v>3251.8503357696</v>
      </c>
      <c r="C26" s="41">
        <f>'Mid Year PV Factor'!V18</f>
        <v>2.4954315384560051</v>
      </c>
      <c r="D26" s="233">
        <f t="shared" si="0"/>
        <v>1303.1214383791962</v>
      </c>
      <c r="E26" s="25">
        <f t="shared" si="8"/>
        <v>43118.20376006233</v>
      </c>
      <c r="G26">
        <f t="shared" si="1"/>
        <v>2042</v>
      </c>
      <c r="H26" s="25"/>
      <c r="I26" s="25">
        <f t="shared" si="11"/>
        <v>2538.806220984507</v>
      </c>
      <c r="J26" s="25">
        <f t="shared" si="12"/>
        <v>0</v>
      </c>
      <c r="K26" s="25">
        <f>'CCA &amp; Cap Tax'!BO36</f>
        <v>0</v>
      </c>
      <c r="L26" s="25">
        <f>'Income Tax &amp; CCA Tax Shield'!J27</f>
        <v>99.294275754044847</v>
      </c>
      <c r="M26" s="25">
        <f t="shared" si="2"/>
        <v>2638.100496738552</v>
      </c>
      <c r="N26" s="41">
        <f t="shared" si="3"/>
        <v>2.4954315384560051</v>
      </c>
      <c r="O26" s="233">
        <f t="shared" si="4"/>
        <v>1057.1720586535587</v>
      </c>
      <c r="P26" s="25">
        <f t="shared" si="9"/>
        <v>84355.308465691094</v>
      </c>
      <c r="R26" s="25">
        <f>'Income Tax &amp; CCA Tax Shield'!L27</f>
        <v>214.26875106434338</v>
      </c>
      <c r="S26" s="25">
        <f t="shared" si="5"/>
        <v>85.86440772361064</v>
      </c>
      <c r="T26" s="25">
        <f t="shared" si="7"/>
        <v>8034.9461358995677</v>
      </c>
    </row>
    <row r="27" spans="1:20" x14ac:dyDescent="0.2">
      <c r="A27">
        <f t="shared" si="6"/>
        <v>2043</v>
      </c>
      <c r="B27" s="233">
        <f t="shared" si="10"/>
        <v>3251.8503357696</v>
      </c>
      <c r="C27" s="41">
        <f>'Mid Year PV Factor'!W18</f>
        <v>2.6092359433104448</v>
      </c>
      <c r="D27" s="233">
        <f t="shared" si="0"/>
        <v>1246.2845087301089</v>
      </c>
      <c r="E27" s="25">
        <f t="shared" si="8"/>
        <v>44364.48826879244</v>
      </c>
      <c r="G27">
        <f t="shared" si="1"/>
        <v>2043</v>
      </c>
      <c r="H27" s="25"/>
      <c r="I27" s="25">
        <f t="shared" si="11"/>
        <v>2538.806220984507</v>
      </c>
      <c r="J27" s="25">
        <f t="shared" si="12"/>
        <v>0</v>
      </c>
      <c r="K27" s="25">
        <f>'CCA &amp; Cap Tax'!BO37</f>
        <v>0</v>
      </c>
      <c r="L27" s="25">
        <f>'Income Tax &amp; CCA Tax Shield'!J28</f>
        <v>106.26724058921536</v>
      </c>
      <c r="M27" s="25">
        <f t="shared" si="2"/>
        <v>2645.0734615737224</v>
      </c>
      <c r="N27" s="41">
        <f t="shared" si="3"/>
        <v>2.6092359433104448</v>
      </c>
      <c r="O27" s="233">
        <f t="shared" si="4"/>
        <v>1013.7348706831813</v>
      </c>
      <c r="P27" s="25">
        <f t="shared" si="9"/>
        <v>85369.043336374278</v>
      </c>
      <c r="R27" s="25">
        <f>'Income Tax &amp; CCA Tax Shield'!L28</f>
        <v>197.12725097919591</v>
      </c>
      <c r="S27" s="25">
        <f t="shared" si="5"/>
        <v>75.549798968771086</v>
      </c>
      <c r="T27" s="25">
        <f t="shared" si="7"/>
        <v>8110.4959348683387</v>
      </c>
    </row>
    <row r="28" spans="1:20" x14ac:dyDescent="0.2">
      <c r="A28">
        <f t="shared" si="6"/>
        <v>2044</v>
      </c>
      <c r="B28" s="233">
        <f t="shared" si="10"/>
        <v>3251.8503357696</v>
      </c>
      <c r="C28" s="41">
        <f>'Mid Year PV Factor'!X18</f>
        <v>2.7282304094287118</v>
      </c>
      <c r="D28" s="233">
        <f t="shared" si="0"/>
        <v>1191.9265779500397</v>
      </c>
      <c r="E28" s="25">
        <f t="shared" si="8"/>
        <v>45556.414846742482</v>
      </c>
      <c r="G28">
        <f t="shared" si="1"/>
        <v>2044</v>
      </c>
      <c r="H28" s="25"/>
      <c r="I28" s="25">
        <f t="shared" si="11"/>
        <v>2538.806220984507</v>
      </c>
      <c r="J28" s="25">
        <f t="shared" si="12"/>
        <v>0</v>
      </c>
      <c r="K28" s="25">
        <f>'CCA &amp; Cap Tax'!BO38</f>
        <v>0</v>
      </c>
      <c r="L28" s="25">
        <f>'Income Tax &amp; CCA Tax Shield'!J29</f>
        <v>113.24020542438588</v>
      </c>
      <c r="M28" s="25">
        <f t="shared" si="2"/>
        <v>2652.0464264088928</v>
      </c>
      <c r="N28" s="41">
        <f t="shared" si="3"/>
        <v>2.7282304094287118</v>
      </c>
      <c r="O28" s="233">
        <f t="shared" si="4"/>
        <v>972.07567852167892</v>
      </c>
      <c r="P28" s="25">
        <f t="shared" si="9"/>
        <v>86341.119014895958</v>
      </c>
      <c r="R28" s="25">
        <f>'Income Tax &amp; CCA Tax Shield'!L29</f>
        <v>181.35707090086024</v>
      </c>
      <c r="S28" s="25">
        <f t="shared" si="5"/>
        <v>66.474250222449569</v>
      </c>
      <c r="T28" s="25">
        <f t="shared" si="7"/>
        <v>8176.9701850907886</v>
      </c>
    </row>
    <row r="29" spans="1:20" x14ac:dyDescent="0.2">
      <c r="A29">
        <f t="shared" si="6"/>
        <v>2045</v>
      </c>
      <c r="B29" s="233">
        <f t="shared" si="10"/>
        <v>3251.8503357696</v>
      </c>
      <c r="C29" s="41">
        <f>'Mid Year PV Factor'!Y18</f>
        <v>2.852651630073749</v>
      </c>
      <c r="D29" s="233">
        <f t="shared" si="0"/>
        <v>1139.9395220528666</v>
      </c>
      <c r="E29" s="25">
        <f t="shared" si="8"/>
        <v>46696.35436879535</v>
      </c>
      <c r="G29">
        <f t="shared" si="1"/>
        <v>2045</v>
      </c>
      <c r="H29" s="25"/>
      <c r="I29" s="25">
        <f t="shared" si="11"/>
        <v>2538.806220984507</v>
      </c>
      <c r="J29" s="25">
        <f t="shared" si="12"/>
        <v>0</v>
      </c>
      <c r="K29" s="25">
        <f>'CCA &amp; Cap Tax'!BO39</f>
        <v>0</v>
      </c>
      <c r="L29" s="25">
        <f>'Income Tax &amp; CCA Tax Shield'!J30</f>
        <v>120.21317025955636</v>
      </c>
      <c r="M29" s="25">
        <f t="shared" si="2"/>
        <v>2659.0193912440636</v>
      </c>
      <c r="N29" s="41">
        <f t="shared" si="3"/>
        <v>2.852651630073749</v>
      </c>
      <c r="O29" s="233">
        <f t="shared" si="4"/>
        <v>932.12201700749574</v>
      </c>
      <c r="P29" s="25">
        <f t="shared" si="9"/>
        <v>87273.241031903453</v>
      </c>
      <c r="R29" s="25">
        <f>'Income Tax &amp; CCA Tax Shield'!L30</f>
        <v>166.8485052287914</v>
      </c>
      <c r="S29" s="25">
        <f t="shared" si="5"/>
        <v>58.488917283067579</v>
      </c>
      <c r="T29" s="25">
        <f t="shared" si="7"/>
        <v>8235.4591023738558</v>
      </c>
    </row>
    <row r="30" spans="1:20" x14ac:dyDescent="0.2">
      <c r="A30">
        <f t="shared" si="6"/>
        <v>2046</v>
      </c>
      <c r="B30" s="233">
        <f t="shared" si="10"/>
        <v>3251.8503357696</v>
      </c>
      <c r="C30" s="41">
        <f>'Mid Year PV Factor'!Z18</f>
        <v>2.9827470929284252</v>
      </c>
      <c r="D30" s="233">
        <f t="shared" si="0"/>
        <v>1090.2199329870011</v>
      </c>
      <c r="E30" s="236">
        <f t="shared" si="8"/>
        <v>47786.574301782348</v>
      </c>
      <c r="G30">
        <f t="shared" si="1"/>
        <v>2046</v>
      </c>
      <c r="H30" s="25"/>
      <c r="I30" s="25">
        <f t="shared" si="11"/>
        <v>2538.806220984507</v>
      </c>
      <c r="J30" s="25">
        <f t="shared" si="12"/>
        <v>0</v>
      </c>
      <c r="K30" s="25">
        <f>'CCA &amp; Cap Tax'!BO40</f>
        <v>0</v>
      </c>
      <c r="L30" s="25">
        <f>'Income Tax &amp; CCA Tax Shield'!J31</f>
        <v>127.18613509472688</v>
      </c>
      <c r="M30" s="25">
        <f t="shared" si="2"/>
        <v>2665.992356079234</v>
      </c>
      <c r="N30" s="41">
        <f t="shared" si="3"/>
        <v>2.9827470929284252</v>
      </c>
      <c r="O30" s="233">
        <f t="shared" si="4"/>
        <v>893.80435988013812</v>
      </c>
      <c r="P30" s="237">
        <f t="shared" si="9"/>
        <v>88167.045391783598</v>
      </c>
      <c r="R30" s="25">
        <f>'Income Tax &amp; CCA Tax Shield'!L31</f>
        <v>153.50062481048812</v>
      </c>
      <c r="S30" s="25">
        <f t="shared" si="5"/>
        <v>51.462836113196261</v>
      </c>
      <c r="T30" s="239">
        <f>S30+T29</f>
        <v>8286.9219384870521</v>
      </c>
    </row>
    <row r="31" spans="1:20" x14ac:dyDescent="0.2">
      <c r="M31" s="240" t="s">
        <v>206</v>
      </c>
      <c r="N31" s="240"/>
      <c r="O31" s="240"/>
      <c r="P31" s="239">
        <f>T30</f>
        <v>8286.9219384870521</v>
      </c>
    </row>
    <row r="32" spans="1:20" x14ac:dyDescent="0.2">
      <c r="A32" s="80" t="s">
        <v>155</v>
      </c>
      <c r="B32" s="80"/>
      <c r="C32" s="80"/>
      <c r="D32" s="80"/>
      <c r="E32" s="80"/>
      <c r="F32" s="80"/>
      <c r="H32" s="18"/>
      <c r="P32" s="238">
        <f>P30-P31</f>
        <v>79880.123453296546</v>
      </c>
    </row>
    <row r="33" spans="8:13" x14ac:dyDescent="0.2">
      <c r="H33" s="119"/>
    </row>
    <row r="34" spans="8:13" x14ac:dyDescent="0.2">
      <c r="H34" s="239">
        <f>E30-P32</f>
        <v>-32093.549151514198</v>
      </c>
      <c r="I34" t="s">
        <v>132</v>
      </c>
    </row>
    <row r="35" spans="8:13" x14ac:dyDescent="0.2">
      <c r="I35" t="s">
        <v>208</v>
      </c>
      <c r="M35" s="18"/>
    </row>
    <row r="36" spans="8:13" x14ac:dyDescent="0.2">
      <c r="I36" t="s">
        <v>207</v>
      </c>
    </row>
    <row r="37" spans="8:13" x14ac:dyDescent="0.2">
      <c r="I37" t="s">
        <v>203</v>
      </c>
    </row>
    <row r="38" spans="8:13" x14ac:dyDescent="0.2">
      <c r="I38" t="s">
        <v>204</v>
      </c>
    </row>
    <row r="39" spans="8:13" x14ac:dyDescent="0.2">
      <c r="I39" t="s">
        <v>205</v>
      </c>
    </row>
    <row r="41" spans="8:13" x14ac:dyDescent="0.2">
      <c r="H41" s="140"/>
    </row>
    <row r="42" spans="8:13" x14ac:dyDescent="0.2">
      <c r="H42" s="140"/>
    </row>
    <row r="43" spans="8:13" x14ac:dyDescent="0.2">
      <c r="H43" s="140"/>
    </row>
    <row r="44" spans="8:13" x14ac:dyDescent="0.2">
      <c r="H44" s="140"/>
    </row>
    <row r="45" spans="8:13" x14ac:dyDescent="0.2">
      <c r="H45" s="140"/>
    </row>
    <row r="46" spans="8:13" x14ac:dyDescent="0.2">
      <c r="H46" s="140"/>
    </row>
    <row r="47" spans="8:13" x14ac:dyDescent="0.2">
      <c r="H47" s="140"/>
    </row>
    <row r="48" spans="8:13" x14ac:dyDescent="0.2">
      <c r="H48" s="140"/>
    </row>
    <row r="49" spans="8:8" x14ac:dyDescent="0.2">
      <c r="H49" s="140"/>
    </row>
  </sheetData>
  <mergeCells count="2">
    <mergeCell ref="A4:E4"/>
    <mergeCell ref="G4:P4"/>
  </mergeCells>
  <phoneticPr fontId="16" type="noConversion"/>
  <pageMargins left="0.75" right="0.75" top="1" bottom="1" header="0.5" footer="0.5"/>
  <pageSetup orientation="portrait"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52"/>
  <sheetViews>
    <sheetView workbookViewId="0">
      <selection activeCell="C7" sqref="C7"/>
    </sheetView>
  </sheetViews>
  <sheetFormatPr defaultRowHeight="12.75" x14ac:dyDescent="0.2"/>
  <cols>
    <col min="1" max="1" width="15.7109375" customWidth="1"/>
    <col min="2" max="4" width="15.7109375" style="5" customWidth="1"/>
    <col min="5" max="12" width="15.7109375" style="4" customWidth="1"/>
    <col min="13" max="13" width="11.7109375" customWidth="1"/>
    <col min="14" max="14" width="10.85546875" customWidth="1"/>
    <col min="15" max="15" width="12.42578125" customWidth="1"/>
    <col min="16" max="16" width="10.140625" bestFit="1" customWidth="1"/>
    <col min="17" max="17" width="9.7109375" bestFit="1" customWidth="1"/>
    <col min="23" max="23" width="10.42578125" customWidth="1"/>
    <col min="24" max="24" width="10.42578125" bestFit="1" customWidth="1"/>
    <col min="25" max="25" width="10.5703125" bestFit="1" customWidth="1"/>
    <col min="26" max="26" width="9.140625" style="26"/>
    <col min="27" max="28" width="11.140625" bestFit="1" customWidth="1"/>
    <col min="29" max="31" width="10.140625" bestFit="1" customWidth="1"/>
  </cols>
  <sheetData>
    <row r="1" spans="1:30" ht="18" x14ac:dyDescent="0.25">
      <c r="A1" s="81" t="str">
        <f>'Table of Contents'!A1</f>
        <v>Expansion - Economic Evaluation Model 2022</v>
      </c>
    </row>
    <row r="3" spans="1:30" x14ac:dyDescent="0.2">
      <c r="A3" s="11" t="s">
        <v>53</v>
      </c>
    </row>
    <row r="4" spans="1:30" ht="15" customHeight="1" x14ac:dyDescent="0.2"/>
    <row r="5" spans="1:30" s="12" customFormat="1" ht="51" customHeight="1" x14ac:dyDescent="0.2">
      <c r="A5" s="14" t="s">
        <v>8</v>
      </c>
      <c r="B5" s="50" t="s">
        <v>7</v>
      </c>
      <c r="C5" s="50" t="s">
        <v>69</v>
      </c>
      <c r="D5" s="50" t="s">
        <v>217</v>
      </c>
      <c r="E5" s="51" t="s">
        <v>54</v>
      </c>
      <c r="F5" s="51" t="s">
        <v>12</v>
      </c>
      <c r="G5" s="52" t="s">
        <v>76</v>
      </c>
      <c r="H5" s="51" t="s">
        <v>9</v>
      </c>
      <c r="I5" s="51" t="s">
        <v>126</v>
      </c>
      <c r="J5" s="51" t="s">
        <v>10</v>
      </c>
      <c r="K5" s="118" t="s">
        <v>183</v>
      </c>
      <c r="L5" s="51" t="s">
        <v>11</v>
      </c>
      <c r="M5" s="53"/>
      <c r="N5" s="53"/>
      <c r="O5" s="53"/>
      <c r="P5" s="54"/>
      <c r="V5" s="14"/>
      <c r="Y5" s="55"/>
    </row>
    <row r="6" spans="1:30" ht="15" x14ac:dyDescent="0.2">
      <c r="A6" s="4"/>
      <c r="B6" s="36"/>
      <c r="C6" s="36"/>
      <c r="D6" s="38"/>
      <c r="E6" s="33"/>
      <c r="P6" s="27"/>
      <c r="Y6" s="26"/>
      <c r="Z6"/>
      <c r="AC6" s="26"/>
      <c r="AD6" s="26"/>
    </row>
    <row r="7" spans="1:30" x14ac:dyDescent="0.2">
      <c r="A7" s="4">
        <f>'Baseline Inputs'!C8</f>
        <v>2022</v>
      </c>
      <c r="B7" s="233">
        <f>'Revenue '!L329</f>
        <v>2373.12</v>
      </c>
      <c r="C7" s="233">
        <f>'Baseline Inputs'!B231</f>
        <v>51331.39</v>
      </c>
      <c r="D7" s="233">
        <f>OMADI!E97</f>
        <v>2031.0449767876057</v>
      </c>
      <c r="E7" s="233">
        <f>'Municipal Tax'!E7</f>
        <v>0</v>
      </c>
      <c r="F7" s="233">
        <f>'CCA &amp; Cap Tax'!BO16</f>
        <v>0</v>
      </c>
      <c r="G7" s="62">
        <f>'Income Tax &amp; CCA Tax Shield'!J7</f>
        <v>-138.47183021613037</v>
      </c>
      <c r="H7" s="62">
        <f>B7-C7-D7-E7-F7-G7</f>
        <v>-50850.843146571475</v>
      </c>
      <c r="I7" s="42">
        <f>'Mid Year PV Factor'!B18</f>
        <v>1.02280255</v>
      </c>
      <c r="J7" s="96">
        <f>H7/I7</f>
        <v>-49717.165005671406</v>
      </c>
      <c r="K7" s="96"/>
      <c r="L7" s="96">
        <f>J7</f>
        <v>-49717.165005671406</v>
      </c>
      <c r="M7" s="26"/>
      <c r="N7" s="26"/>
      <c r="O7" s="26"/>
      <c r="P7" s="29"/>
      <c r="Q7" s="26"/>
      <c r="S7" s="26"/>
      <c r="T7" s="26"/>
      <c r="U7" s="26"/>
      <c r="V7" s="26"/>
      <c r="W7" s="26"/>
      <c r="X7" s="30"/>
      <c r="Y7" s="26"/>
      <c r="Z7"/>
      <c r="AA7" s="31"/>
      <c r="AB7" s="28"/>
      <c r="AC7" s="26"/>
      <c r="AD7" s="26"/>
    </row>
    <row r="8" spans="1:30" x14ac:dyDescent="0.2">
      <c r="A8" s="4">
        <f t="shared" ref="A8:A31" si="0">A7+1</f>
        <v>2023</v>
      </c>
      <c r="B8" s="233">
        <f>'Revenue '!L330</f>
        <v>3064.2911999999997</v>
      </c>
      <c r="C8" s="233">
        <f>'Baseline Inputs'!C231</f>
        <v>0</v>
      </c>
      <c r="D8" s="233">
        <f>OMADI!E98</f>
        <v>2538.806220984507</v>
      </c>
      <c r="E8" s="233">
        <f>'Municipal Tax'!E8</f>
        <v>0</v>
      </c>
      <c r="F8" s="233">
        <f>'CCA &amp; Cap Tax'!BO17</f>
        <v>0</v>
      </c>
      <c r="G8" s="62">
        <f>'Income Tax &amp; CCA Tax Shield'!J8</f>
        <v>-82.895227093138743</v>
      </c>
      <c r="H8" s="62">
        <f t="shared" ref="H8:H31" si="1">B8-C8-D8-E8-F8-G8</f>
        <v>608.38020610863134</v>
      </c>
      <c r="I8" s="42">
        <f>'Mid Year PV Factor'!C18</f>
        <v>1.0694475625730049</v>
      </c>
      <c r="J8" s="96">
        <f t="shared" ref="J8:J31" si="2">H8/I8</f>
        <v>568.87333928268299</v>
      </c>
      <c r="K8" s="96"/>
      <c r="L8" s="96">
        <f>L7+J8</f>
        <v>-49148.291666388723</v>
      </c>
      <c r="M8" s="26"/>
      <c r="N8" s="26"/>
      <c r="O8" s="26"/>
      <c r="P8" s="29"/>
      <c r="Q8" s="26"/>
      <c r="S8" s="26"/>
      <c r="T8" s="26"/>
      <c r="U8" s="26"/>
      <c r="V8" s="26"/>
      <c r="W8" s="26"/>
      <c r="X8" s="30"/>
      <c r="Y8" s="26"/>
      <c r="Z8"/>
      <c r="AA8" s="31"/>
      <c r="AB8" s="28"/>
      <c r="AC8" s="26"/>
      <c r="AD8" s="26"/>
    </row>
    <row r="9" spans="1:30" x14ac:dyDescent="0.2">
      <c r="A9" s="4">
        <f t="shared" si="0"/>
        <v>2024</v>
      </c>
      <c r="B9" s="233">
        <f>'Revenue '!L331</f>
        <v>3125.5770239999997</v>
      </c>
      <c r="C9" s="233">
        <f>'Baseline Inputs'!D231</f>
        <v>0</v>
      </c>
      <c r="D9" s="233">
        <f>OMADI!E99</f>
        <v>2538.806220984507</v>
      </c>
      <c r="E9" s="233">
        <f>'Municipal Tax'!E9</f>
        <v>0</v>
      </c>
      <c r="F9" s="233">
        <f>'CCA &amp; Cap Tax'!BO18</f>
        <v>0</v>
      </c>
      <c r="G9" s="62">
        <f>'Income Tax &amp; CCA Tax Shield'!J9</f>
        <v>-59.681518897968253</v>
      </c>
      <c r="H9" s="62">
        <f t="shared" si="1"/>
        <v>646.45232191346088</v>
      </c>
      <c r="I9" s="42">
        <f>'Mid Year PV Factor'!D18</f>
        <v>1.1182198256089029</v>
      </c>
      <c r="J9" s="96">
        <f t="shared" si="2"/>
        <v>578.10844264136438</v>
      </c>
      <c r="K9" s="96"/>
      <c r="L9" s="96">
        <f t="shared" ref="L9:L30" si="3">L8+J9</f>
        <v>-48570.183223747357</v>
      </c>
      <c r="M9" s="26"/>
      <c r="N9" s="26"/>
      <c r="O9" s="26"/>
      <c r="P9" s="29"/>
      <c r="Q9" s="26"/>
      <c r="S9" s="26"/>
      <c r="T9" s="26"/>
      <c r="U9" s="26"/>
      <c r="V9" s="26"/>
      <c r="W9" s="26"/>
      <c r="X9" s="30"/>
      <c r="Y9" s="26"/>
      <c r="Z9"/>
      <c r="AA9" s="31"/>
      <c r="AB9" s="28"/>
      <c r="AC9" s="26"/>
      <c r="AD9" s="26"/>
    </row>
    <row r="10" spans="1:30" x14ac:dyDescent="0.2">
      <c r="A10" s="4">
        <f t="shared" si="0"/>
        <v>2025</v>
      </c>
      <c r="B10" s="233">
        <f>'Revenue '!L332</f>
        <v>3188.0885644800001</v>
      </c>
      <c r="C10" s="233">
        <f>'Baseline Inputs'!E231</f>
        <v>0</v>
      </c>
      <c r="D10" s="233">
        <f>OMADI!E100</f>
        <v>2538.806220984507</v>
      </c>
      <c r="E10" s="233">
        <f>'Municipal Tax'!E10</f>
        <v>0</v>
      </c>
      <c r="F10" s="233">
        <f>'CCA &amp; Cap Tax'!BO19</f>
        <v>0</v>
      </c>
      <c r="G10" s="62">
        <f>'Income Tax &amp; CCA Tax Shield'!J10</f>
        <v>-36.142995835597659</v>
      </c>
      <c r="H10" s="62">
        <f t="shared" si="1"/>
        <v>685.42533933109064</v>
      </c>
      <c r="I10" s="42">
        <f>'Mid Year PV Factor'!E18</f>
        <v>1.1692163525777794</v>
      </c>
      <c r="J10" s="96">
        <f t="shared" si="2"/>
        <v>586.22626840612395</v>
      </c>
      <c r="K10" s="96"/>
      <c r="L10" s="96">
        <f t="shared" si="3"/>
        <v>-47983.956955341237</v>
      </c>
      <c r="M10" s="26"/>
      <c r="N10" s="26"/>
      <c r="O10" s="26"/>
      <c r="P10" s="29"/>
      <c r="Q10" s="26"/>
      <c r="S10" s="26"/>
      <c r="T10" s="26"/>
      <c r="U10" s="26"/>
      <c r="V10" s="26"/>
      <c r="W10" s="26"/>
      <c r="X10" s="30"/>
      <c r="Y10" s="26"/>
      <c r="Z10"/>
      <c r="AA10" s="31"/>
      <c r="AB10" s="28"/>
      <c r="AC10" s="26"/>
      <c r="AD10" s="26"/>
    </row>
    <row r="11" spans="1:30" x14ac:dyDescent="0.2">
      <c r="A11" s="4">
        <f t="shared" si="0"/>
        <v>2026</v>
      </c>
      <c r="B11" s="233">
        <f>'Revenue '!L333</f>
        <v>3251.8503357696</v>
      </c>
      <c r="C11" s="233">
        <f>'Baseline Inputs'!F231</f>
        <v>0</v>
      </c>
      <c r="D11" s="233">
        <f>OMADI!E101</f>
        <v>2538.806220984507</v>
      </c>
      <c r="E11" s="233">
        <f>'Municipal Tax'!E11</f>
        <v>0</v>
      </c>
      <c r="F11" s="233">
        <f>'CCA &amp; Cap Tax'!BO20</f>
        <v>0</v>
      </c>
      <c r="G11" s="62">
        <f>'Income Tax &amp; CCA Tax Shield'!J11</f>
        <v>-12.273161608683159</v>
      </c>
      <c r="H11" s="62">
        <f t="shared" si="1"/>
        <v>725.31727639377607</v>
      </c>
      <c r="I11" s="42">
        <f>'Mid Year PV Factor'!F18</f>
        <v>1.2225385812587244</v>
      </c>
      <c r="J11" s="96">
        <f t="shared" si="2"/>
        <v>593.2878418012707</v>
      </c>
      <c r="K11" s="96"/>
      <c r="L11" s="96">
        <f t="shared" si="3"/>
        <v>-47390.669113539967</v>
      </c>
      <c r="M11" s="26"/>
      <c r="N11" s="26"/>
      <c r="O11" s="26"/>
      <c r="P11" s="29"/>
      <c r="Q11" s="26"/>
      <c r="S11" s="26"/>
      <c r="T11" s="26"/>
      <c r="U11" s="26"/>
      <c r="V11" s="26"/>
      <c r="W11" s="26"/>
      <c r="X11" s="30"/>
      <c r="Y11" s="26"/>
      <c r="Z11"/>
      <c r="AA11" s="31"/>
      <c r="AB11" s="28"/>
      <c r="AC11" s="26"/>
      <c r="AD11" s="26"/>
    </row>
    <row r="12" spans="1:30" x14ac:dyDescent="0.2">
      <c r="A12" s="4">
        <f t="shared" si="0"/>
        <v>2027</v>
      </c>
      <c r="B12" s="233">
        <f>B11</f>
        <v>3251.8503357696</v>
      </c>
      <c r="C12" s="233"/>
      <c r="D12" s="233">
        <f>D11</f>
        <v>2538.806220984507</v>
      </c>
      <c r="E12" s="233">
        <f>E11</f>
        <v>0</v>
      </c>
      <c r="F12" s="233">
        <f>'CCA &amp; Cap Tax'!BO21</f>
        <v>0</v>
      </c>
      <c r="G12" s="62">
        <f>'Income Tax &amp; CCA Tax Shield'!J12</f>
        <v>-5.3001967735126287</v>
      </c>
      <c r="H12" s="62">
        <f t="shared" si="1"/>
        <v>718.34431155860557</v>
      </c>
      <c r="I12" s="42">
        <f>'Mid Year PV Factor'!G18</f>
        <v>1.2782925755108865</v>
      </c>
      <c r="J12" s="96">
        <f t="shared" si="2"/>
        <v>561.95610091180401</v>
      </c>
      <c r="K12" s="96"/>
      <c r="L12" s="96">
        <f t="shared" si="3"/>
        <v>-46828.713012628163</v>
      </c>
      <c r="M12" s="26"/>
      <c r="N12" s="26"/>
      <c r="O12" s="26"/>
      <c r="P12" s="29"/>
      <c r="Q12" s="26"/>
      <c r="S12" s="26"/>
      <c r="T12" s="26"/>
      <c r="U12" s="26"/>
      <c r="V12" s="26"/>
      <c r="W12" s="26"/>
      <c r="X12" s="30"/>
      <c r="Y12" s="26"/>
      <c r="Z12"/>
      <c r="AA12" s="31"/>
      <c r="AB12" s="28"/>
      <c r="AC12" s="26"/>
      <c r="AD12" s="26"/>
    </row>
    <row r="13" spans="1:30" x14ac:dyDescent="0.2">
      <c r="A13" s="4">
        <f t="shared" si="0"/>
        <v>2028</v>
      </c>
      <c r="B13" s="233">
        <f t="shared" ref="B13:B31" si="4">B12</f>
        <v>3251.8503357696</v>
      </c>
      <c r="C13" s="233"/>
      <c r="D13" s="233">
        <f t="shared" ref="D13:D31" si="5">D12</f>
        <v>2538.806220984507</v>
      </c>
      <c r="E13" s="233">
        <f t="shared" ref="E13:E31" si="6">E12</f>
        <v>0</v>
      </c>
      <c r="F13" s="233">
        <f>'CCA &amp; Cap Tax'!BO22</f>
        <v>0</v>
      </c>
      <c r="G13" s="62">
        <f>'Income Tax &amp; CCA Tax Shield'!J13</f>
        <v>1.672768061657812</v>
      </c>
      <c r="H13" s="62">
        <f t="shared" si="1"/>
        <v>711.37134672343507</v>
      </c>
      <c r="I13" s="42">
        <f>'Mid Year PV Factor'!H18</f>
        <v>1.3365892362463179</v>
      </c>
      <c r="J13" s="96">
        <f t="shared" si="2"/>
        <v>532.22884595513653</v>
      </c>
      <c r="K13" s="96"/>
      <c r="L13" s="96">
        <f t="shared" si="3"/>
        <v>-46296.484166673028</v>
      </c>
      <c r="M13" s="26"/>
      <c r="N13" s="26"/>
      <c r="O13" s="26"/>
      <c r="P13" s="29"/>
      <c r="Q13" s="26"/>
      <c r="S13" s="26"/>
      <c r="T13" s="26"/>
      <c r="U13" s="26"/>
      <c r="V13" s="26"/>
      <c r="W13" s="26"/>
      <c r="X13" s="30"/>
      <c r="Y13" s="26"/>
      <c r="Z13"/>
      <c r="AA13" s="31"/>
      <c r="AB13" s="28"/>
      <c r="AC13" s="26"/>
      <c r="AD13" s="26"/>
    </row>
    <row r="14" spans="1:30" x14ac:dyDescent="0.2">
      <c r="A14" s="4">
        <f t="shared" si="0"/>
        <v>2029</v>
      </c>
      <c r="B14" s="233">
        <f t="shared" si="4"/>
        <v>3251.8503357696</v>
      </c>
      <c r="C14" s="233"/>
      <c r="D14" s="233">
        <f t="shared" si="5"/>
        <v>2538.806220984507</v>
      </c>
      <c r="E14" s="233">
        <f t="shared" si="6"/>
        <v>0</v>
      </c>
      <c r="F14" s="233">
        <f>'CCA &amp; Cap Tax'!BO23</f>
        <v>0</v>
      </c>
      <c r="G14" s="62">
        <f>'Income Tax &amp; CCA Tax Shield'!J14</f>
        <v>8.6457328968282816</v>
      </c>
      <c r="H14" s="62">
        <f t="shared" si="1"/>
        <v>704.39838188826468</v>
      </c>
      <c r="I14" s="42">
        <f>'Mid Year PV Factor'!I18</f>
        <v>1.3975445220242548</v>
      </c>
      <c r="J14" s="96">
        <f t="shared" si="2"/>
        <v>504.02571852808535</v>
      </c>
      <c r="K14" s="96"/>
      <c r="L14" s="96">
        <f t="shared" si="3"/>
        <v>-45792.458448144942</v>
      </c>
      <c r="M14" s="26"/>
      <c r="N14" s="26"/>
      <c r="O14" s="26"/>
      <c r="P14" s="29"/>
      <c r="Q14" s="26"/>
      <c r="S14" s="26"/>
      <c r="T14" s="26"/>
      <c r="U14" s="26"/>
      <c r="V14" s="26"/>
      <c r="W14" s="26"/>
      <c r="X14" s="30"/>
      <c r="Y14" s="26"/>
      <c r="Z14"/>
      <c r="AA14" s="31"/>
      <c r="AB14" s="28"/>
      <c r="AC14" s="26"/>
      <c r="AD14" s="26"/>
    </row>
    <row r="15" spans="1:30" x14ac:dyDescent="0.2">
      <c r="A15" s="4">
        <f t="shared" si="0"/>
        <v>2030</v>
      </c>
      <c r="B15" s="233">
        <f t="shared" si="4"/>
        <v>3251.8503357696</v>
      </c>
      <c r="C15" s="233"/>
      <c r="D15" s="233">
        <f t="shared" si="5"/>
        <v>2538.806220984507</v>
      </c>
      <c r="E15" s="233">
        <f t="shared" si="6"/>
        <v>0</v>
      </c>
      <c r="F15" s="233">
        <f>'CCA &amp; Cap Tax'!BO24</f>
        <v>0</v>
      </c>
      <c r="G15" s="62">
        <f>'Income Tax &amp; CCA Tax Shield'!J15</f>
        <v>15.618697731998843</v>
      </c>
      <c r="H15" s="62">
        <f t="shared" si="1"/>
        <v>697.42541705309407</v>
      </c>
      <c r="I15" s="42">
        <f>'Mid Year PV Factor'!J18</f>
        <v>1.4612796797056231</v>
      </c>
      <c r="J15" s="96">
        <f t="shared" si="2"/>
        <v>477.27031774888667</v>
      </c>
      <c r="K15" s="96"/>
      <c r="L15" s="96">
        <f t="shared" si="3"/>
        <v>-45315.188130396054</v>
      </c>
      <c r="M15" s="26"/>
      <c r="N15" s="26"/>
      <c r="O15" s="26"/>
      <c r="P15" s="29"/>
      <c r="Q15" s="26"/>
      <c r="S15" s="26"/>
      <c r="T15" s="26"/>
      <c r="U15" s="26"/>
      <c r="V15" s="26"/>
      <c r="W15" s="26"/>
      <c r="X15" s="30"/>
      <c r="Y15" s="26"/>
      <c r="Z15"/>
      <c r="AA15" s="31"/>
      <c r="AB15" s="28"/>
      <c r="AC15" s="26"/>
      <c r="AD15" s="26"/>
    </row>
    <row r="16" spans="1:30" x14ac:dyDescent="0.2">
      <c r="A16" s="4">
        <f t="shared" si="0"/>
        <v>2031</v>
      </c>
      <c r="B16" s="233">
        <f t="shared" si="4"/>
        <v>3251.8503357696</v>
      </c>
      <c r="C16" s="233"/>
      <c r="D16" s="233">
        <f t="shared" si="5"/>
        <v>2538.806220984507</v>
      </c>
      <c r="E16" s="233">
        <f t="shared" si="6"/>
        <v>0</v>
      </c>
      <c r="F16" s="233">
        <f>'CCA &amp; Cap Tax'!BO25</f>
        <v>0</v>
      </c>
      <c r="G16" s="62">
        <f>'Income Tax &amp; CCA Tax Shield'!J16</f>
        <v>22.591662567169344</v>
      </c>
      <c r="H16" s="62">
        <f t="shared" si="1"/>
        <v>690.45245221792356</v>
      </c>
      <c r="I16" s="42">
        <f>'Mid Year PV Factor'!K18</f>
        <v>1.5279214856265659</v>
      </c>
      <c r="J16" s="96">
        <f t="shared" si="2"/>
        <v>451.89000790494458</v>
      </c>
      <c r="K16" s="96"/>
      <c r="L16" s="96">
        <f t="shared" si="3"/>
        <v>-44863.298122491113</v>
      </c>
      <c r="M16" s="26"/>
      <c r="N16" s="26"/>
      <c r="O16" s="26"/>
      <c r="P16" s="29"/>
      <c r="Q16" s="26"/>
      <c r="S16" s="26"/>
      <c r="T16" s="26"/>
      <c r="U16" s="26"/>
      <c r="V16" s="26"/>
      <c r="W16" s="26"/>
      <c r="X16" s="30"/>
      <c r="Y16" s="26"/>
      <c r="Z16"/>
      <c r="AA16" s="31"/>
      <c r="AB16" s="28"/>
      <c r="AC16" s="26"/>
      <c r="AD16" s="26"/>
    </row>
    <row r="17" spans="1:30" x14ac:dyDescent="0.2">
      <c r="A17" s="4">
        <f t="shared" si="0"/>
        <v>2032</v>
      </c>
      <c r="B17" s="233">
        <f t="shared" si="4"/>
        <v>3251.8503357696</v>
      </c>
      <c r="C17" s="233"/>
      <c r="D17" s="233">
        <f t="shared" si="5"/>
        <v>2538.806220984507</v>
      </c>
      <c r="E17" s="233">
        <f t="shared" si="6"/>
        <v>0</v>
      </c>
      <c r="F17" s="233">
        <f>'CCA &amp; Cap Tax'!BO26</f>
        <v>0</v>
      </c>
      <c r="G17" s="62">
        <f>'Income Tax &amp; CCA Tax Shield'!J17</f>
        <v>29.564627402339845</v>
      </c>
      <c r="H17" s="62">
        <f t="shared" si="1"/>
        <v>683.47948738275306</v>
      </c>
      <c r="I17" s="42">
        <f>'Mid Year PV Factor'!L18</f>
        <v>1.5976024977707139</v>
      </c>
      <c r="J17" s="96">
        <f t="shared" si="2"/>
        <v>427.81573535123835</v>
      </c>
      <c r="K17" s="96"/>
      <c r="L17" s="96">
        <f t="shared" si="3"/>
        <v>-44435.482387139877</v>
      </c>
      <c r="M17" s="26"/>
      <c r="N17" s="26"/>
      <c r="O17" s="26"/>
      <c r="P17" s="29"/>
      <c r="Q17" s="26"/>
      <c r="S17" s="26"/>
      <c r="T17" s="26"/>
      <c r="U17" s="26"/>
      <c r="V17" s="26"/>
      <c r="W17" s="26"/>
      <c r="X17" s="30"/>
      <c r="Y17" s="26"/>
      <c r="Z17"/>
      <c r="AA17" s="31"/>
      <c r="AB17" s="28"/>
      <c r="AC17" s="26"/>
      <c r="AD17" s="26"/>
    </row>
    <row r="18" spans="1:30" x14ac:dyDescent="0.2">
      <c r="A18" s="4">
        <f t="shared" si="0"/>
        <v>2033</v>
      </c>
      <c r="B18" s="233">
        <f t="shared" si="4"/>
        <v>3251.8503357696</v>
      </c>
      <c r="C18" s="233"/>
      <c r="D18" s="233">
        <f t="shared" si="5"/>
        <v>2538.806220984507</v>
      </c>
      <c r="E18" s="233">
        <f t="shared" si="6"/>
        <v>0</v>
      </c>
      <c r="F18" s="233">
        <f>'CCA &amp; Cap Tax'!BO27</f>
        <v>0</v>
      </c>
      <c r="G18" s="62">
        <f>'Income Tax &amp; CCA Tax Shield'!J18</f>
        <v>36.537592237510282</v>
      </c>
      <c r="H18" s="62">
        <f t="shared" si="1"/>
        <v>676.50652254758268</v>
      </c>
      <c r="I18" s="42">
        <f>'Mid Year PV Factor'!M18</f>
        <v>1.670461319441797</v>
      </c>
      <c r="J18" s="96">
        <f t="shared" si="2"/>
        <v>404.98185421835734</v>
      </c>
      <c r="K18" s="96"/>
      <c r="L18" s="96">
        <f t="shared" si="3"/>
        <v>-44030.50053292152</v>
      </c>
      <c r="M18" s="26"/>
      <c r="N18" s="26"/>
      <c r="O18" s="26"/>
      <c r="P18" s="29"/>
      <c r="Q18" s="26"/>
      <c r="S18" s="26"/>
      <c r="T18" s="26"/>
      <c r="U18" s="26"/>
      <c r="V18" s="26"/>
      <c r="W18" s="26"/>
      <c r="X18" s="30"/>
      <c r="Y18" s="26"/>
      <c r="Z18"/>
      <c r="AA18" s="31"/>
      <c r="AB18" s="28"/>
      <c r="AC18" s="26"/>
      <c r="AD18" s="26"/>
    </row>
    <row r="19" spans="1:30" x14ac:dyDescent="0.2">
      <c r="A19" s="4">
        <f t="shared" si="0"/>
        <v>2034</v>
      </c>
      <c r="B19" s="233">
        <f t="shared" si="4"/>
        <v>3251.8503357696</v>
      </c>
      <c r="C19" s="233"/>
      <c r="D19" s="233">
        <f t="shared" si="5"/>
        <v>2538.806220984507</v>
      </c>
      <c r="E19" s="233">
        <f t="shared" si="6"/>
        <v>0</v>
      </c>
      <c r="F19" s="233">
        <f>'CCA &amp; Cap Tax'!BO28</f>
        <v>0</v>
      </c>
      <c r="G19" s="62">
        <f>'Income Tax &amp; CCA Tax Shield'!J19</f>
        <v>43.510557072680818</v>
      </c>
      <c r="H19" s="62">
        <f t="shared" si="1"/>
        <v>669.53355771241206</v>
      </c>
      <c r="I19" s="42">
        <f>'Mid Year PV Factor'!N18</f>
        <v>1.7466428749610721</v>
      </c>
      <c r="J19" s="96">
        <f t="shared" si="2"/>
        <v>383.32596051000644</v>
      </c>
      <c r="K19" s="96"/>
      <c r="L19" s="96">
        <f t="shared" si="3"/>
        <v>-43647.174572411517</v>
      </c>
      <c r="M19" s="26"/>
      <c r="N19" s="26"/>
      <c r="O19" s="26"/>
      <c r="P19" s="29"/>
      <c r="Q19" s="26"/>
      <c r="S19" s="26"/>
      <c r="T19" s="26"/>
      <c r="U19" s="26"/>
      <c r="V19" s="26"/>
      <c r="W19" s="26"/>
      <c r="X19" s="30"/>
      <c r="Y19" s="26"/>
      <c r="Z19"/>
      <c r="AA19" s="31"/>
      <c r="AB19" s="28"/>
      <c r="AC19" s="26"/>
      <c r="AD19" s="26"/>
    </row>
    <row r="20" spans="1:30" x14ac:dyDescent="0.2">
      <c r="A20" s="4">
        <f t="shared" si="0"/>
        <v>2035</v>
      </c>
      <c r="B20" s="233">
        <f t="shared" si="4"/>
        <v>3251.8503357696</v>
      </c>
      <c r="C20" s="233"/>
      <c r="D20" s="233">
        <f t="shared" si="5"/>
        <v>2538.806220984507</v>
      </c>
      <c r="E20" s="233">
        <f t="shared" si="6"/>
        <v>0</v>
      </c>
      <c r="F20" s="233">
        <f>'CCA &amp; Cap Tax'!BO29</f>
        <v>0</v>
      </c>
      <c r="G20" s="62">
        <f>'Income Tax &amp; CCA Tax Shield'!J20</f>
        <v>50.483521907851348</v>
      </c>
      <c r="H20" s="62">
        <f t="shared" si="1"/>
        <v>662.56059287724156</v>
      </c>
      <c r="I20" s="42">
        <f>'Mid Year PV Factor'!O18</f>
        <v>1.8262986979379592</v>
      </c>
      <c r="J20" s="96">
        <f t="shared" si="2"/>
        <v>362.78873418971756</v>
      </c>
      <c r="K20" s="96"/>
      <c r="L20" s="96">
        <f t="shared" si="3"/>
        <v>-43284.385838221802</v>
      </c>
      <c r="M20" s="26"/>
      <c r="N20" s="26"/>
      <c r="O20" s="26"/>
      <c r="P20" s="29"/>
      <c r="Q20" s="26"/>
      <c r="S20" s="26"/>
      <c r="T20" s="26"/>
      <c r="U20" s="26"/>
      <c r="V20" s="26"/>
      <c r="W20" s="26"/>
      <c r="X20" s="30"/>
      <c r="Y20" s="26"/>
      <c r="Z20"/>
      <c r="AA20" s="31"/>
      <c r="AB20" s="28"/>
      <c r="AC20" s="26"/>
      <c r="AD20" s="26"/>
    </row>
    <row r="21" spans="1:30" x14ac:dyDescent="0.2">
      <c r="A21" s="4">
        <f t="shared" si="0"/>
        <v>2036</v>
      </c>
      <c r="B21" s="233">
        <f t="shared" si="4"/>
        <v>3251.8503357696</v>
      </c>
      <c r="C21" s="233"/>
      <c r="D21" s="233">
        <f t="shared" si="5"/>
        <v>2538.806220984507</v>
      </c>
      <c r="E21" s="233">
        <f t="shared" si="6"/>
        <v>0</v>
      </c>
      <c r="F21" s="233">
        <f>'CCA &amp; Cap Tax'!BO30</f>
        <v>0</v>
      </c>
      <c r="G21" s="62">
        <f>'Income Tax &amp; CCA Tax Shield'!J21</f>
        <v>57.456486743021848</v>
      </c>
      <c r="H21" s="62">
        <f t="shared" si="1"/>
        <v>655.58762804207106</v>
      </c>
      <c r="I21" s="42">
        <f>'Mid Year PV Factor'!P18</f>
        <v>1.9095872326872896</v>
      </c>
      <c r="J21" s="96">
        <f t="shared" si="2"/>
        <v>343.31378887545634</v>
      </c>
      <c r="K21" s="96"/>
      <c r="L21" s="96">
        <f t="shared" si="3"/>
        <v>-42941.072049346345</v>
      </c>
      <c r="M21" s="26"/>
      <c r="N21" s="26"/>
      <c r="O21" s="26"/>
      <c r="P21" s="29"/>
      <c r="Q21" s="26"/>
      <c r="S21" s="26"/>
      <c r="T21" s="26"/>
      <c r="U21" s="26"/>
      <c r="V21" s="26"/>
      <c r="W21" s="26"/>
      <c r="X21" s="30"/>
      <c r="Y21" s="26"/>
      <c r="Z21"/>
      <c r="AA21" s="31"/>
      <c r="AB21" s="28"/>
      <c r="AC21" s="26"/>
      <c r="AD21" s="26"/>
    </row>
    <row r="22" spans="1:30" x14ac:dyDescent="0.2">
      <c r="A22" s="4">
        <f t="shared" si="0"/>
        <v>2037</v>
      </c>
      <c r="B22" s="233">
        <f t="shared" si="4"/>
        <v>3251.8503357696</v>
      </c>
      <c r="C22" s="233"/>
      <c r="D22" s="233">
        <f t="shared" si="5"/>
        <v>2538.806220984507</v>
      </c>
      <c r="E22" s="233">
        <f t="shared" si="6"/>
        <v>0</v>
      </c>
      <c r="F22" s="233">
        <f>'CCA &amp; Cap Tax'!BO31</f>
        <v>0</v>
      </c>
      <c r="G22" s="62">
        <f>'Income Tax &amp; CCA Tax Shield'!J22</f>
        <v>64.429451578192314</v>
      </c>
      <c r="H22" s="62">
        <f t="shared" si="1"/>
        <v>648.61466320690056</v>
      </c>
      <c r="I22" s="42">
        <f>'Mid Year PV Factor'!Q18</f>
        <v>1.9966741493927167</v>
      </c>
      <c r="J22" s="96">
        <f t="shared" si="2"/>
        <v>324.84752877888212</v>
      </c>
      <c r="K22" s="96"/>
      <c r="L22" s="96">
        <f t="shared" si="3"/>
        <v>-42616.224520567463</v>
      </c>
      <c r="M22" s="26"/>
      <c r="N22" s="26"/>
      <c r="O22" s="26"/>
      <c r="P22" s="29"/>
      <c r="Q22" s="26"/>
      <c r="S22" s="26"/>
      <c r="T22" s="26"/>
      <c r="U22" s="26"/>
      <c r="V22" s="26"/>
      <c r="W22" s="26"/>
      <c r="X22" s="30"/>
      <c r="Y22" s="26"/>
      <c r="Z22"/>
      <c r="AA22" s="31"/>
      <c r="AB22" s="28"/>
      <c r="AC22" s="26"/>
      <c r="AD22" s="26"/>
    </row>
    <row r="23" spans="1:30" x14ac:dyDescent="0.2">
      <c r="A23" s="4">
        <f t="shared" si="0"/>
        <v>2038</v>
      </c>
      <c r="B23" s="233">
        <f t="shared" si="4"/>
        <v>3251.8503357696</v>
      </c>
      <c r="C23" s="233"/>
      <c r="D23" s="233">
        <f t="shared" si="5"/>
        <v>2538.806220984507</v>
      </c>
      <c r="E23" s="233">
        <f t="shared" si="6"/>
        <v>0</v>
      </c>
      <c r="F23" s="233">
        <f>'CCA &amp; Cap Tax'!BO32</f>
        <v>0</v>
      </c>
      <c r="G23" s="62">
        <f>'Income Tax &amp; CCA Tax Shield'!J23</f>
        <v>71.402416413362843</v>
      </c>
      <c r="H23" s="62">
        <f t="shared" si="1"/>
        <v>641.64169837173006</v>
      </c>
      <c r="I23" s="42">
        <f>'Mid Year PV Factor'!R18</f>
        <v>2.0877326736431865</v>
      </c>
      <c r="J23" s="96">
        <f t="shared" si="2"/>
        <v>307.33901254322791</v>
      </c>
      <c r="K23" s="96"/>
      <c r="L23" s="96">
        <f t="shared" si="3"/>
        <v>-42308.885508024236</v>
      </c>
      <c r="M23" s="26"/>
      <c r="N23" s="26"/>
      <c r="O23" s="26"/>
      <c r="P23" s="29"/>
      <c r="Q23" s="26"/>
      <c r="S23" s="26"/>
      <c r="T23" s="26"/>
      <c r="U23" s="26"/>
      <c r="V23" s="26"/>
      <c r="W23" s="26"/>
      <c r="X23" s="30"/>
      <c r="Y23" s="26"/>
      <c r="Z23"/>
      <c r="AA23" s="31"/>
      <c r="AB23" s="28"/>
      <c r="AC23" s="26"/>
      <c r="AD23" s="26"/>
    </row>
    <row r="24" spans="1:30" x14ac:dyDescent="0.2">
      <c r="A24" s="4">
        <f t="shared" si="0"/>
        <v>2039</v>
      </c>
      <c r="B24" s="233">
        <f t="shared" si="4"/>
        <v>3251.8503357696</v>
      </c>
      <c r="C24" s="233"/>
      <c r="D24" s="233">
        <f t="shared" si="5"/>
        <v>2538.806220984507</v>
      </c>
      <c r="E24" s="233">
        <f t="shared" si="6"/>
        <v>0</v>
      </c>
      <c r="F24" s="233">
        <f>'CCA &amp; Cap Tax'!BO33</f>
        <v>0</v>
      </c>
      <c r="G24" s="62">
        <f>'Income Tax &amp; CCA Tax Shield'!J24</f>
        <v>78.375381248533344</v>
      </c>
      <c r="H24" s="62">
        <f t="shared" si="1"/>
        <v>634.66873353655956</v>
      </c>
      <c r="I24" s="42">
        <f>'Mid Year PV Factor'!S18</f>
        <v>2.1829439309979515</v>
      </c>
      <c r="J24" s="96">
        <f t="shared" si="2"/>
        <v>290.73982365017287</v>
      </c>
      <c r="K24" s="96"/>
      <c r="L24" s="96">
        <f t="shared" si="3"/>
        <v>-42018.14568437406</v>
      </c>
      <c r="M24" s="26"/>
      <c r="N24" s="26"/>
      <c r="O24" s="26"/>
      <c r="P24" s="29"/>
      <c r="Q24" s="26"/>
      <c r="S24" s="26"/>
      <c r="T24" s="26"/>
      <c r="U24" s="26"/>
      <c r="V24" s="26"/>
      <c r="W24" s="26"/>
      <c r="X24" s="30"/>
      <c r="Y24" s="26"/>
      <c r="Z24"/>
      <c r="AA24" s="31"/>
      <c r="AB24" s="28"/>
      <c r="AC24" s="26"/>
      <c r="AD24" s="26"/>
    </row>
    <row r="25" spans="1:30" x14ac:dyDescent="0.2">
      <c r="A25" s="4">
        <f t="shared" si="0"/>
        <v>2040</v>
      </c>
      <c r="B25" s="233">
        <f t="shared" si="4"/>
        <v>3251.8503357696</v>
      </c>
      <c r="C25" s="233"/>
      <c r="D25" s="233">
        <f t="shared" si="5"/>
        <v>2538.806220984507</v>
      </c>
      <c r="E25" s="233">
        <f t="shared" si="6"/>
        <v>0</v>
      </c>
      <c r="F25" s="233">
        <f>'CCA &amp; Cap Tax'!BO34</f>
        <v>0</v>
      </c>
      <c r="G25" s="62">
        <f>'Income Tax &amp; CCA Tax Shield'!J25</f>
        <v>85.348346083703845</v>
      </c>
      <c r="H25" s="62">
        <f t="shared" si="1"/>
        <v>627.69576870138906</v>
      </c>
      <c r="I25" s="42">
        <f>'Mid Year PV Factor'!T18</f>
        <v>2.2824973072655061</v>
      </c>
      <c r="J25" s="96">
        <f t="shared" si="2"/>
        <v>275.00394708171012</v>
      </c>
      <c r="K25" s="96"/>
      <c r="L25" s="96">
        <f t="shared" si="3"/>
        <v>-41743.141737292346</v>
      </c>
      <c r="M25" s="26"/>
      <c r="N25" s="26"/>
      <c r="O25" s="26"/>
      <c r="P25" s="29"/>
      <c r="Q25" s="26"/>
      <c r="S25" s="26"/>
      <c r="T25" s="26"/>
      <c r="U25" s="26"/>
      <c r="V25" s="26"/>
      <c r="W25" s="26"/>
      <c r="X25" s="30"/>
      <c r="Y25" s="26"/>
      <c r="Z25"/>
      <c r="AA25" s="31"/>
      <c r="AB25" s="28"/>
      <c r="AC25" s="26"/>
      <c r="AD25" s="26"/>
    </row>
    <row r="26" spans="1:30" x14ac:dyDescent="0.2">
      <c r="A26" s="4">
        <f t="shared" si="0"/>
        <v>2041</v>
      </c>
      <c r="B26" s="233">
        <f t="shared" si="4"/>
        <v>3251.8503357696</v>
      </c>
      <c r="C26" s="233"/>
      <c r="D26" s="233">
        <f t="shared" si="5"/>
        <v>2538.806220984507</v>
      </c>
      <c r="E26" s="233">
        <f t="shared" si="6"/>
        <v>0</v>
      </c>
      <c r="F26" s="233">
        <f>'CCA &amp; Cap Tax'!BO35</f>
        <v>0</v>
      </c>
      <c r="G26" s="62">
        <f>'Income Tax &amp; CCA Tax Shield'!J26</f>
        <v>92.32131091887436</v>
      </c>
      <c r="H26" s="62">
        <f t="shared" si="1"/>
        <v>620.72280386621856</v>
      </c>
      <c r="I26" s="42">
        <f>'Mid Year PV Factor'!U18</f>
        <v>2.3865908252130801</v>
      </c>
      <c r="J26" s="96">
        <f t="shared" si="2"/>
        <v>260.08765193790566</v>
      </c>
      <c r="K26" s="96"/>
      <c r="L26" s="96">
        <f t="shared" si="3"/>
        <v>-41483.054085354437</v>
      </c>
      <c r="M26" s="26"/>
      <c r="N26" s="26"/>
      <c r="O26" s="26"/>
      <c r="P26" s="29"/>
      <c r="Q26" s="26"/>
      <c r="S26" s="26"/>
      <c r="T26" s="26"/>
      <c r="U26" s="26"/>
      <c r="V26" s="26"/>
      <c r="W26" s="26"/>
      <c r="X26" s="30"/>
      <c r="Y26" s="26"/>
      <c r="Z26"/>
      <c r="AA26" s="31"/>
      <c r="AB26" s="28"/>
      <c r="AC26" s="26"/>
      <c r="AD26" s="26"/>
    </row>
    <row r="27" spans="1:30" x14ac:dyDescent="0.2">
      <c r="A27" s="4">
        <f t="shared" si="0"/>
        <v>2042</v>
      </c>
      <c r="B27" s="233">
        <f t="shared" si="4"/>
        <v>3251.8503357696</v>
      </c>
      <c r="C27" s="233"/>
      <c r="D27" s="233">
        <f t="shared" si="5"/>
        <v>2538.806220984507</v>
      </c>
      <c r="E27" s="233">
        <f t="shared" si="6"/>
        <v>0</v>
      </c>
      <c r="F27" s="233">
        <f>'CCA &amp; Cap Tax'!BO36</f>
        <v>0</v>
      </c>
      <c r="G27" s="62">
        <f>'Income Tax &amp; CCA Tax Shield'!J27</f>
        <v>99.294275754044847</v>
      </c>
      <c r="H27" s="62">
        <f t="shared" si="1"/>
        <v>613.74983903104805</v>
      </c>
      <c r="I27" s="42">
        <f>'Mid Year PV Factor'!V18</f>
        <v>2.4954315384560051</v>
      </c>
      <c r="J27" s="96">
        <f t="shared" si="2"/>
        <v>245.94937972563761</v>
      </c>
      <c r="K27" s="96"/>
      <c r="L27" s="96">
        <f t="shared" si="3"/>
        <v>-41237.104705628801</v>
      </c>
      <c r="M27" s="26"/>
      <c r="N27" s="26"/>
      <c r="O27" s="26"/>
      <c r="P27" s="29"/>
      <c r="Q27" s="26"/>
      <c r="S27" s="26"/>
      <c r="T27" s="26"/>
      <c r="U27" s="26"/>
      <c r="V27" s="26"/>
      <c r="W27" s="26"/>
      <c r="X27" s="30"/>
      <c r="Y27" s="26"/>
      <c r="Z27"/>
      <c r="AA27" s="31"/>
      <c r="AB27" s="28"/>
      <c r="AC27" s="26"/>
      <c r="AD27" s="26"/>
    </row>
    <row r="28" spans="1:30" x14ac:dyDescent="0.2">
      <c r="A28" s="4">
        <f t="shared" si="0"/>
        <v>2043</v>
      </c>
      <c r="B28" s="233">
        <f t="shared" si="4"/>
        <v>3251.8503357696</v>
      </c>
      <c r="C28" s="233"/>
      <c r="D28" s="233">
        <f t="shared" si="5"/>
        <v>2538.806220984507</v>
      </c>
      <c r="E28" s="233">
        <f t="shared" si="6"/>
        <v>0</v>
      </c>
      <c r="F28" s="233">
        <f>'CCA &amp; Cap Tax'!BO37</f>
        <v>0</v>
      </c>
      <c r="G28" s="62">
        <f>'Income Tax &amp; CCA Tax Shield'!J28</f>
        <v>106.26724058921536</v>
      </c>
      <c r="H28" s="62">
        <f t="shared" si="1"/>
        <v>606.77687419587755</v>
      </c>
      <c r="I28" s="42">
        <f>'Mid Year PV Factor'!W18</f>
        <v>2.6092359433104448</v>
      </c>
      <c r="J28" s="96">
        <f t="shared" si="2"/>
        <v>232.54963804692756</v>
      </c>
      <c r="K28" s="96"/>
      <c r="L28" s="96">
        <f t="shared" si="3"/>
        <v>-41004.555067581874</v>
      </c>
      <c r="M28" s="26"/>
      <c r="N28" s="26"/>
      <c r="O28" s="26"/>
      <c r="P28" s="29"/>
      <c r="Q28" s="26"/>
      <c r="S28" s="26"/>
      <c r="T28" s="26"/>
      <c r="U28" s="26"/>
      <c r="V28" s="26"/>
      <c r="W28" s="26"/>
      <c r="X28" s="30"/>
      <c r="Y28" s="26"/>
      <c r="Z28"/>
      <c r="AA28" s="31"/>
      <c r="AB28" s="28"/>
      <c r="AC28" s="26"/>
      <c r="AD28" s="26"/>
    </row>
    <row r="29" spans="1:30" x14ac:dyDescent="0.2">
      <c r="A29" s="4">
        <f t="shared" si="0"/>
        <v>2044</v>
      </c>
      <c r="B29" s="233">
        <f t="shared" si="4"/>
        <v>3251.8503357696</v>
      </c>
      <c r="C29" s="233"/>
      <c r="D29" s="233">
        <f t="shared" si="5"/>
        <v>2538.806220984507</v>
      </c>
      <c r="E29" s="233">
        <f t="shared" si="6"/>
        <v>0</v>
      </c>
      <c r="F29" s="233">
        <f>'CCA &amp; Cap Tax'!BO38</f>
        <v>0</v>
      </c>
      <c r="G29" s="62">
        <f>'Income Tax &amp; CCA Tax Shield'!J29</f>
        <v>113.24020542438588</v>
      </c>
      <c r="H29" s="62">
        <f t="shared" si="1"/>
        <v>599.80390936070705</v>
      </c>
      <c r="I29" s="42">
        <f>'Mid Year PV Factor'!X18</f>
        <v>2.7282304094287118</v>
      </c>
      <c r="J29" s="96">
        <f t="shared" si="2"/>
        <v>219.85089942836069</v>
      </c>
      <c r="K29" s="96"/>
      <c r="L29" s="96">
        <f t="shared" si="3"/>
        <v>-40784.704168153512</v>
      </c>
      <c r="M29" s="26"/>
      <c r="N29" s="26"/>
      <c r="O29" s="26"/>
      <c r="P29" s="29"/>
      <c r="Q29" s="26"/>
      <c r="S29" s="26"/>
      <c r="T29" s="26"/>
      <c r="U29" s="26"/>
      <c r="V29" s="26"/>
      <c r="W29" s="26"/>
      <c r="X29" s="30"/>
      <c r="Y29" s="26"/>
      <c r="Z29"/>
      <c r="AA29" s="31"/>
      <c r="AB29" s="28"/>
      <c r="AC29" s="26"/>
      <c r="AD29" s="26"/>
    </row>
    <row r="30" spans="1:30" x14ac:dyDescent="0.2">
      <c r="A30" s="4">
        <f t="shared" si="0"/>
        <v>2045</v>
      </c>
      <c r="B30" s="233">
        <f t="shared" si="4"/>
        <v>3251.8503357696</v>
      </c>
      <c r="C30" s="233"/>
      <c r="D30" s="233">
        <f t="shared" si="5"/>
        <v>2538.806220984507</v>
      </c>
      <c r="E30" s="233">
        <f t="shared" si="6"/>
        <v>0</v>
      </c>
      <c r="F30" s="233">
        <f>'CCA &amp; Cap Tax'!BO39</f>
        <v>0</v>
      </c>
      <c r="G30" s="62">
        <f>'Income Tax &amp; CCA Tax Shield'!J30</f>
        <v>120.21317025955636</v>
      </c>
      <c r="H30" s="62">
        <f t="shared" si="1"/>
        <v>592.83094452553655</v>
      </c>
      <c r="I30" s="42">
        <f>'Mid Year PV Factor'!Y18</f>
        <v>2.852651630073749</v>
      </c>
      <c r="J30" s="96">
        <f t="shared" si="2"/>
        <v>207.81750504537078</v>
      </c>
      <c r="K30" s="96"/>
      <c r="L30" s="96">
        <f t="shared" si="3"/>
        <v>-40576.88666310814</v>
      </c>
      <c r="M30" s="26"/>
      <c r="N30" s="26"/>
      <c r="O30" s="26"/>
      <c r="P30" s="29"/>
      <c r="Q30" s="26"/>
      <c r="S30" s="26"/>
      <c r="T30" s="26"/>
      <c r="U30" s="26"/>
      <c r="V30" s="26"/>
      <c r="W30" s="26"/>
      <c r="X30" s="30"/>
      <c r="Y30" s="26"/>
      <c r="Z30"/>
      <c r="AA30" s="31"/>
      <c r="AB30" s="28"/>
      <c r="AC30" s="26"/>
      <c r="AD30" s="26"/>
    </row>
    <row r="31" spans="1:30" x14ac:dyDescent="0.2">
      <c r="A31" s="4">
        <f t="shared" si="0"/>
        <v>2046</v>
      </c>
      <c r="B31" s="233">
        <f t="shared" si="4"/>
        <v>3251.8503357696</v>
      </c>
      <c r="C31" s="233"/>
      <c r="D31" s="233">
        <f t="shared" si="5"/>
        <v>2538.806220984507</v>
      </c>
      <c r="E31" s="233">
        <f t="shared" si="6"/>
        <v>0</v>
      </c>
      <c r="F31" s="233">
        <f>'CCA &amp; Cap Tax'!BO40</f>
        <v>0</v>
      </c>
      <c r="G31" s="62">
        <f>'Income Tax &amp; CCA Tax Shield'!J31</f>
        <v>127.18613509472688</v>
      </c>
      <c r="H31" s="62">
        <f t="shared" si="1"/>
        <v>585.85797969036605</v>
      </c>
      <c r="I31" s="42">
        <f>'Mid Year PV Factor'!Z18</f>
        <v>2.9827470929284252</v>
      </c>
      <c r="J31" s="96">
        <f t="shared" si="2"/>
        <v>196.41557310686295</v>
      </c>
      <c r="K31" s="235">
        <f>-'Expansion Deposit'!P31</f>
        <v>-8286.9219384870521</v>
      </c>
      <c r="L31" s="234">
        <f>L30+J31-K31</f>
        <v>-32093.549151514228</v>
      </c>
      <c r="M31" s="26"/>
      <c r="N31" s="26"/>
      <c r="O31" s="26"/>
      <c r="P31" s="29"/>
      <c r="Q31" s="26"/>
      <c r="S31" s="26"/>
      <c r="T31" s="26"/>
      <c r="U31" s="26"/>
      <c r="V31" s="26"/>
      <c r="W31" s="26"/>
      <c r="X31" s="30"/>
      <c r="Y31" s="26"/>
      <c r="Z31"/>
      <c r="AA31" s="31"/>
      <c r="AB31" s="28"/>
      <c r="AC31" s="26"/>
      <c r="AD31" s="26"/>
    </row>
    <row r="32" spans="1:30" x14ac:dyDescent="0.2">
      <c r="A32" s="4"/>
      <c r="B32" s="37"/>
      <c r="C32" s="37"/>
      <c r="D32" s="37"/>
      <c r="E32" s="34"/>
      <c r="F32" s="35"/>
      <c r="G32" s="35"/>
      <c r="H32" s="35"/>
      <c r="I32" s="42"/>
      <c r="J32" s="35"/>
      <c r="K32" s="35"/>
      <c r="L32" s="35"/>
      <c r="M32" s="26"/>
      <c r="N32" s="26"/>
      <c r="O32" s="26"/>
      <c r="P32" s="29"/>
      <c r="S32" s="26"/>
      <c r="T32" s="26"/>
      <c r="U32" s="26"/>
      <c r="V32" s="26"/>
      <c r="W32" s="26"/>
      <c r="X32" s="30"/>
      <c r="Y32" s="26"/>
      <c r="Z32"/>
      <c r="AA32" s="31"/>
      <c r="AB32" s="28"/>
      <c r="AC32" s="26"/>
      <c r="AD32" s="26"/>
    </row>
    <row r="33" spans="1:30" x14ac:dyDescent="0.2">
      <c r="A33" s="4"/>
      <c r="B33" s="37"/>
      <c r="C33" s="37"/>
      <c r="D33" s="37"/>
      <c r="E33" s="34"/>
      <c r="F33" s="35"/>
      <c r="G33" s="35"/>
      <c r="H33" s="35"/>
      <c r="I33" s="42"/>
      <c r="J33" s="35"/>
      <c r="K33" s="35"/>
      <c r="L33" s="35"/>
      <c r="M33" s="26"/>
      <c r="N33" s="26"/>
      <c r="O33" s="26"/>
      <c r="P33" s="29"/>
      <c r="S33" s="26"/>
      <c r="T33" s="26"/>
      <c r="U33" s="26"/>
      <c r="V33" s="26"/>
      <c r="W33" s="26"/>
      <c r="X33" s="30"/>
      <c r="Y33" s="26"/>
      <c r="Z33"/>
      <c r="AA33" s="31"/>
      <c r="AB33" s="28"/>
      <c r="AC33" s="26"/>
      <c r="AD33" s="26"/>
    </row>
    <row r="34" spans="1:30" x14ac:dyDescent="0.2">
      <c r="A34" s="4"/>
      <c r="B34" s="37"/>
      <c r="C34" s="37"/>
      <c r="D34" s="37"/>
      <c r="E34" s="34"/>
      <c r="F34" s="35"/>
      <c r="G34" s="35"/>
      <c r="H34" s="35"/>
      <c r="I34" s="42"/>
      <c r="J34" s="35"/>
      <c r="K34" s="35"/>
      <c r="L34" s="35"/>
      <c r="M34" s="26"/>
      <c r="N34" s="26"/>
      <c r="O34" s="26"/>
      <c r="P34" s="29"/>
      <c r="S34" s="26"/>
      <c r="T34" s="26"/>
      <c r="U34" s="26"/>
      <c r="V34" s="26"/>
      <c r="W34" s="26"/>
      <c r="X34" s="30"/>
      <c r="Y34" s="26"/>
      <c r="Z34"/>
      <c r="AA34" s="31"/>
      <c r="AB34" s="28"/>
      <c r="AC34" s="26"/>
      <c r="AD34" s="26"/>
    </row>
    <row r="35" spans="1:30" x14ac:dyDescent="0.2">
      <c r="A35" s="4"/>
      <c r="B35" s="37"/>
      <c r="C35" s="37"/>
      <c r="D35" s="37"/>
      <c r="E35" s="34"/>
      <c r="F35" s="35"/>
      <c r="G35" s="35"/>
      <c r="H35" s="35"/>
      <c r="I35" s="42"/>
      <c r="J35" s="35"/>
      <c r="K35" s="35"/>
      <c r="L35" s="35"/>
      <c r="M35" s="26"/>
      <c r="N35" s="26"/>
      <c r="O35" s="26"/>
      <c r="P35" s="29"/>
      <c r="S35" s="26"/>
      <c r="T35" s="26"/>
      <c r="U35" s="26"/>
      <c r="V35" s="26"/>
      <c r="W35" s="26"/>
      <c r="X35" s="30"/>
      <c r="Y35" s="26"/>
      <c r="Z35"/>
      <c r="AA35" s="31"/>
      <c r="AB35" s="28"/>
      <c r="AC35" s="26"/>
      <c r="AD35" s="26"/>
    </row>
    <row r="36" spans="1:30" x14ac:dyDescent="0.2">
      <c r="A36" s="4"/>
      <c r="B36" s="37"/>
      <c r="C36" s="37"/>
      <c r="D36" s="37"/>
      <c r="E36" s="34"/>
      <c r="F36" s="35"/>
      <c r="G36" s="35"/>
      <c r="H36" s="35"/>
      <c r="I36" s="42"/>
      <c r="J36" s="35"/>
      <c r="K36" s="35"/>
      <c r="L36" s="35"/>
      <c r="M36" s="26"/>
      <c r="N36" s="26"/>
      <c r="O36" s="26"/>
      <c r="P36" s="29"/>
      <c r="S36" s="26"/>
      <c r="T36" s="26"/>
      <c r="U36" s="26"/>
      <c r="V36" s="26"/>
      <c r="W36" s="26"/>
      <c r="X36" s="30"/>
      <c r="Y36" s="26"/>
      <c r="Z36"/>
      <c r="AA36" s="31"/>
      <c r="AB36" s="28"/>
      <c r="AC36" s="26"/>
      <c r="AD36" s="26"/>
    </row>
    <row r="37" spans="1:30" x14ac:dyDescent="0.2">
      <c r="A37" s="4"/>
      <c r="B37" s="37"/>
      <c r="C37" s="37"/>
      <c r="D37" s="37"/>
      <c r="E37" s="34"/>
      <c r="F37" s="35"/>
      <c r="G37" s="35"/>
      <c r="H37" s="35"/>
      <c r="I37" s="42"/>
      <c r="J37" s="35"/>
      <c r="K37" s="35"/>
      <c r="L37" s="35"/>
      <c r="M37" s="26"/>
      <c r="N37" s="26"/>
      <c r="O37" s="26"/>
      <c r="P37" s="29"/>
      <c r="S37" s="26"/>
      <c r="T37" s="26"/>
      <c r="U37" s="26"/>
      <c r="V37" s="26"/>
      <c r="W37" s="26"/>
      <c r="X37" s="30"/>
      <c r="Y37" s="26"/>
      <c r="Z37"/>
      <c r="AA37" s="31"/>
      <c r="AB37" s="28"/>
      <c r="AC37" s="26"/>
      <c r="AD37" s="26"/>
    </row>
    <row r="38" spans="1:30" x14ac:dyDescent="0.2">
      <c r="A38" s="4"/>
      <c r="B38" s="37"/>
      <c r="C38" s="37"/>
      <c r="D38" s="37"/>
      <c r="E38" s="34"/>
      <c r="F38" s="35"/>
      <c r="G38" s="35"/>
      <c r="H38" s="35"/>
      <c r="I38" s="42"/>
      <c r="J38" s="35"/>
      <c r="K38" s="35"/>
      <c r="L38" s="35"/>
      <c r="M38" s="26"/>
      <c r="N38" s="26"/>
      <c r="O38" s="26"/>
      <c r="P38" s="29"/>
      <c r="S38" s="26"/>
      <c r="T38" s="26"/>
      <c r="U38" s="26"/>
      <c r="V38" s="26"/>
      <c r="W38" s="26"/>
      <c r="X38" s="30"/>
      <c r="Y38" s="26"/>
      <c r="Z38"/>
      <c r="AA38" s="31"/>
      <c r="AB38" s="28"/>
      <c r="AC38" s="26"/>
      <c r="AD38" s="26"/>
    </row>
    <row r="39" spans="1:30" x14ac:dyDescent="0.2">
      <c r="A39" s="4"/>
      <c r="B39" s="37"/>
      <c r="C39" s="37"/>
      <c r="D39" s="37"/>
      <c r="E39" s="34"/>
      <c r="F39" s="35"/>
      <c r="G39" s="35"/>
      <c r="H39" s="35"/>
      <c r="I39" s="42"/>
      <c r="J39" s="35"/>
      <c r="K39" s="35"/>
      <c r="L39" s="35"/>
      <c r="M39" s="26"/>
      <c r="N39" s="26"/>
      <c r="O39" s="26"/>
      <c r="P39" s="29"/>
      <c r="S39" s="26"/>
      <c r="T39" s="26"/>
      <c r="U39" s="26"/>
      <c r="V39" s="26"/>
      <c r="W39" s="26"/>
      <c r="X39" s="30"/>
      <c r="Y39" s="26"/>
      <c r="Z39"/>
      <c r="AA39" s="31"/>
      <c r="AB39" s="28"/>
      <c r="AC39" s="26"/>
      <c r="AD39" s="26"/>
    </row>
    <row r="40" spans="1:30" x14ac:dyDescent="0.2">
      <c r="A40" s="4"/>
      <c r="B40" s="37"/>
      <c r="C40" s="37"/>
      <c r="D40" s="37"/>
      <c r="E40" s="34"/>
      <c r="F40" s="35"/>
      <c r="G40" s="35"/>
      <c r="H40" s="35"/>
      <c r="I40" s="42"/>
      <c r="J40" s="35"/>
      <c r="K40" s="35"/>
      <c r="L40" s="35"/>
      <c r="M40" s="26"/>
      <c r="N40" s="26"/>
      <c r="O40" s="26"/>
      <c r="P40" s="29"/>
      <c r="S40" s="26"/>
      <c r="T40" s="26"/>
      <c r="U40" s="26"/>
      <c r="V40" s="26"/>
      <c r="W40" s="26"/>
      <c r="X40" s="30"/>
      <c r="Y40" s="26"/>
      <c r="Z40"/>
      <c r="AA40" s="31"/>
      <c r="AB40" s="28"/>
      <c r="AC40" s="26"/>
      <c r="AD40" s="26"/>
    </row>
    <row r="41" spans="1:30" x14ac:dyDescent="0.2">
      <c r="A41" s="4"/>
      <c r="B41" s="37"/>
      <c r="C41" s="37"/>
      <c r="D41" s="37"/>
      <c r="E41" s="34"/>
      <c r="F41" s="35"/>
      <c r="G41" s="35"/>
      <c r="H41" s="35"/>
      <c r="I41" s="42"/>
      <c r="J41" s="35"/>
      <c r="K41" s="35"/>
      <c r="L41" s="35"/>
      <c r="M41" s="26"/>
      <c r="N41" s="26"/>
      <c r="O41" s="26"/>
      <c r="P41" s="29"/>
      <c r="S41" s="26"/>
      <c r="T41" s="26"/>
      <c r="U41" s="26"/>
      <c r="V41" s="26"/>
      <c r="W41" s="26"/>
      <c r="X41" s="30"/>
      <c r="Y41" s="26"/>
      <c r="Z41"/>
      <c r="AA41" s="31"/>
      <c r="AB41" s="28"/>
      <c r="AC41" s="26"/>
      <c r="AD41" s="26"/>
    </row>
    <row r="42" spans="1:30" x14ac:dyDescent="0.2">
      <c r="A42" s="4"/>
      <c r="B42" s="37"/>
      <c r="C42" s="37"/>
      <c r="D42" s="37"/>
      <c r="E42" s="34"/>
      <c r="F42" s="35"/>
      <c r="G42" s="35"/>
      <c r="H42" s="35"/>
      <c r="I42" s="42"/>
      <c r="J42" s="35"/>
      <c r="K42" s="35"/>
      <c r="L42" s="35"/>
      <c r="M42" s="26"/>
      <c r="N42" s="26"/>
      <c r="O42" s="26"/>
      <c r="P42" s="29"/>
      <c r="S42" s="26"/>
      <c r="T42" s="26"/>
      <c r="U42" s="26"/>
      <c r="V42" s="26"/>
      <c r="W42" s="26"/>
      <c r="X42" s="30"/>
      <c r="Y42" s="26"/>
      <c r="Z42"/>
      <c r="AA42" s="31"/>
      <c r="AB42" s="28"/>
      <c r="AC42" s="26"/>
      <c r="AD42" s="26"/>
    </row>
    <row r="43" spans="1:30" x14ac:dyDescent="0.2">
      <c r="A43" s="4"/>
      <c r="B43" s="37"/>
      <c r="C43" s="37"/>
      <c r="D43" s="37"/>
      <c r="E43" s="34"/>
      <c r="F43" s="35"/>
      <c r="G43" s="35"/>
      <c r="H43" s="35"/>
      <c r="I43" s="42"/>
      <c r="J43" s="35"/>
      <c r="K43" s="35"/>
      <c r="L43" s="35"/>
      <c r="M43" s="26"/>
      <c r="N43" s="26"/>
      <c r="O43" s="26"/>
      <c r="P43" s="29"/>
      <c r="S43" s="26"/>
      <c r="T43" s="26"/>
      <c r="U43" s="26"/>
      <c r="V43" s="26"/>
      <c r="W43" s="26"/>
      <c r="X43" s="30"/>
      <c r="Y43" s="26"/>
      <c r="Z43"/>
      <c r="AA43" s="31"/>
      <c r="AB43" s="28"/>
      <c r="AC43" s="26"/>
      <c r="AD43" s="26"/>
    </row>
    <row r="44" spans="1:30" x14ac:dyDescent="0.2">
      <c r="A44" s="4"/>
      <c r="B44" s="37"/>
      <c r="C44" s="37"/>
      <c r="D44" s="37"/>
      <c r="E44" s="34"/>
      <c r="F44" s="35"/>
      <c r="G44" s="35"/>
      <c r="H44" s="35"/>
      <c r="I44" s="42"/>
      <c r="J44" s="35"/>
      <c r="K44" s="35"/>
      <c r="L44" s="35"/>
      <c r="M44" s="26"/>
      <c r="N44" s="26"/>
      <c r="O44" s="26"/>
      <c r="P44" s="29"/>
      <c r="S44" s="26"/>
      <c r="T44" s="26"/>
      <c r="U44" s="26"/>
      <c r="V44" s="26"/>
      <c r="W44" s="26"/>
      <c r="X44" s="30"/>
      <c r="Y44" s="26"/>
      <c r="Z44"/>
      <c r="AA44" s="31"/>
      <c r="AB44" s="28"/>
      <c r="AC44" s="26"/>
      <c r="AD44" s="26"/>
    </row>
    <row r="45" spans="1:30" x14ac:dyDescent="0.2">
      <c r="A45" s="4"/>
      <c r="B45" s="37"/>
      <c r="C45" s="37"/>
      <c r="D45" s="37"/>
      <c r="E45" s="34"/>
      <c r="F45" s="35"/>
      <c r="G45" s="35"/>
      <c r="H45" s="35"/>
      <c r="I45" s="42"/>
      <c r="J45" s="35"/>
      <c r="K45" s="35"/>
      <c r="L45" s="35"/>
      <c r="M45" s="26"/>
      <c r="N45" s="26"/>
      <c r="O45" s="26"/>
      <c r="P45" s="29"/>
      <c r="S45" s="26"/>
      <c r="T45" s="26"/>
      <c r="U45" s="26"/>
      <c r="V45" s="26"/>
      <c r="W45" s="26"/>
      <c r="X45" s="30"/>
      <c r="Y45" s="26"/>
      <c r="Z45"/>
      <c r="AA45" s="31"/>
      <c r="AB45" s="28"/>
      <c r="AC45" s="26"/>
      <c r="AD45" s="26"/>
    </row>
    <row r="46" spans="1:30" x14ac:dyDescent="0.2">
      <c r="A46" s="4"/>
      <c r="B46" s="37"/>
      <c r="C46" s="37"/>
      <c r="D46" s="37"/>
      <c r="E46" s="34"/>
      <c r="F46" s="35"/>
      <c r="G46" s="35"/>
      <c r="H46" s="35"/>
      <c r="I46" s="42"/>
      <c r="J46" s="35"/>
      <c r="K46" s="35"/>
      <c r="L46" s="35"/>
      <c r="M46" s="26"/>
      <c r="N46" s="26"/>
      <c r="O46" s="26"/>
      <c r="P46" s="29"/>
      <c r="S46" s="26"/>
      <c r="T46" s="26"/>
      <c r="U46" s="26"/>
      <c r="V46" s="26"/>
      <c r="W46" s="26"/>
      <c r="X46" s="30"/>
      <c r="Y46" s="26"/>
      <c r="Z46"/>
      <c r="AA46" s="31"/>
      <c r="AB46" s="28"/>
      <c r="AC46" s="26"/>
      <c r="AD46" s="26"/>
    </row>
    <row r="52" spans="1:1" x14ac:dyDescent="0.2">
      <c r="A52" s="32"/>
    </row>
  </sheetData>
  <customSheetViews>
    <customSheetView guid="{183997E1-9CCE-11D3-BD95-0000861AD9C2}" fitToPage="1" showRuler="0" topLeftCell="A62">
      <selection activeCell="A74" sqref="A74"/>
      <pageMargins left="0.75" right="0.75" top="1" bottom="1" header="0.5" footer="0.5"/>
      <pageSetup orientation="portrait" r:id="rId1"/>
      <headerFooter alignWithMargins="0"/>
    </customSheetView>
  </customSheetViews>
  <phoneticPr fontId="0" type="noConversion"/>
  <pageMargins left="0.37" right="0.16" top="1" bottom="1" header="0.5" footer="0.5"/>
  <pageSetup orientation="landscape" r:id="rId2"/>
  <headerFooter alignWithMargins="0"/>
  <colBreaks count="2" manualBreakCount="2">
    <brk id="7" max="1048575" man="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74"/>
  <sheetViews>
    <sheetView workbookViewId="0">
      <selection activeCell="Z20" sqref="Z20"/>
    </sheetView>
  </sheetViews>
  <sheetFormatPr defaultRowHeight="12.75" x14ac:dyDescent="0.2"/>
  <cols>
    <col min="1" max="1" width="25.7109375" customWidth="1"/>
    <col min="2" max="2" width="8.7109375" style="4" customWidth="1"/>
    <col min="3" max="3" width="8.7109375" style="39" customWidth="1"/>
    <col min="4" max="4" width="8.7109375" style="4" customWidth="1"/>
    <col min="5" max="7" width="8.7109375" customWidth="1"/>
    <col min="8" max="8" width="8.7109375" style="41" customWidth="1"/>
    <col min="9" max="26" width="8.7109375" customWidth="1"/>
  </cols>
  <sheetData>
    <row r="1" spans="1:26" ht="23.25" x14ac:dyDescent="0.35">
      <c r="A1" s="43" t="str">
        <f>'Table of Contents'!A1</f>
        <v>Expansion - Economic Evaluation Model 2022</v>
      </c>
    </row>
    <row r="3" spans="1:26" x14ac:dyDescent="0.2">
      <c r="A3" s="11" t="s">
        <v>58</v>
      </c>
    </row>
    <row r="5" spans="1:26" x14ac:dyDescent="0.2">
      <c r="A5" s="70"/>
      <c r="B5" s="70">
        <f>'Baseline Inputs'!C8</f>
        <v>2022</v>
      </c>
      <c r="C5" s="70">
        <f>B5+1</f>
        <v>2023</v>
      </c>
      <c r="D5" s="70">
        <f t="shared" ref="D5:Z5" si="0">C5+1</f>
        <v>2024</v>
      </c>
      <c r="E5" s="70">
        <f t="shared" si="0"/>
        <v>2025</v>
      </c>
      <c r="F5" s="70">
        <f t="shared" si="0"/>
        <v>2026</v>
      </c>
      <c r="G5" s="70">
        <f t="shared" si="0"/>
        <v>2027</v>
      </c>
      <c r="H5" s="70">
        <f t="shared" si="0"/>
        <v>2028</v>
      </c>
      <c r="I5" s="70">
        <f t="shared" si="0"/>
        <v>2029</v>
      </c>
      <c r="J5" s="70">
        <f t="shared" si="0"/>
        <v>2030</v>
      </c>
      <c r="K5" s="70">
        <f t="shared" si="0"/>
        <v>2031</v>
      </c>
      <c r="L5" s="70">
        <f t="shared" si="0"/>
        <v>2032</v>
      </c>
      <c r="M5" s="70">
        <f t="shared" si="0"/>
        <v>2033</v>
      </c>
      <c r="N5" s="70">
        <f t="shared" si="0"/>
        <v>2034</v>
      </c>
      <c r="O5" s="70">
        <f t="shared" si="0"/>
        <v>2035</v>
      </c>
      <c r="P5" s="70">
        <f t="shared" si="0"/>
        <v>2036</v>
      </c>
      <c r="Q5" s="70">
        <f t="shared" si="0"/>
        <v>2037</v>
      </c>
      <c r="R5" s="70">
        <f t="shared" si="0"/>
        <v>2038</v>
      </c>
      <c r="S5" s="70">
        <f t="shared" si="0"/>
        <v>2039</v>
      </c>
      <c r="T5" s="70">
        <f t="shared" si="0"/>
        <v>2040</v>
      </c>
      <c r="U5" s="70">
        <f t="shared" si="0"/>
        <v>2041</v>
      </c>
      <c r="V5" s="70">
        <f t="shared" si="0"/>
        <v>2042</v>
      </c>
      <c r="W5" s="70">
        <f t="shared" si="0"/>
        <v>2043</v>
      </c>
      <c r="X5" s="70">
        <f t="shared" si="0"/>
        <v>2044</v>
      </c>
      <c r="Y5" s="70">
        <f t="shared" si="0"/>
        <v>2045</v>
      </c>
      <c r="Z5" s="70">
        <f t="shared" si="0"/>
        <v>2046</v>
      </c>
    </row>
    <row r="6" spans="1:26" x14ac:dyDescent="0.2">
      <c r="A6" s="70"/>
      <c r="B6" s="70"/>
      <c r="C6" s="70"/>
      <c r="D6" s="70"/>
      <c r="E6" s="70"/>
      <c r="F6" s="70"/>
      <c r="G6" s="70"/>
      <c r="H6" s="70"/>
      <c r="I6" s="70"/>
      <c r="J6" s="70"/>
      <c r="K6" s="70"/>
      <c r="L6" s="70"/>
      <c r="M6" s="70"/>
      <c r="N6" s="70"/>
      <c r="O6" s="70"/>
      <c r="P6" s="70"/>
      <c r="Q6" s="70"/>
      <c r="R6" s="70"/>
      <c r="S6" s="70"/>
      <c r="T6" s="70"/>
      <c r="U6" s="70"/>
      <c r="V6" s="70"/>
      <c r="W6" s="70"/>
      <c r="X6" s="70"/>
      <c r="Y6" s="70"/>
      <c r="Z6" s="70"/>
    </row>
    <row r="7" spans="1:26" x14ac:dyDescent="0.2">
      <c r="A7" s="70" t="s">
        <v>125</v>
      </c>
      <c r="B7" s="71">
        <f>1-(B8+B9)</f>
        <v>0.39999999999999991</v>
      </c>
      <c r="C7" s="71">
        <f t="shared" ref="C7:Z7" si="1">1-(C8+C9)</f>
        <v>0.39999999999999991</v>
      </c>
      <c r="D7" s="71">
        <f t="shared" si="1"/>
        <v>0.39999999999999991</v>
      </c>
      <c r="E7" s="71">
        <f t="shared" si="1"/>
        <v>0.39999999999999991</v>
      </c>
      <c r="F7" s="71">
        <f t="shared" si="1"/>
        <v>0.39999999999999991</v>
      </c>
      <c r="G7" s="71">
        <f t="shared" si="1"/>
        <v>0.39999999999999991</v>
      </c>
      <c r="H7" s="71">
        <f t="shared" si="1"/>
        <v>0.39999999999999991</v>
      </c>
      <c r="I7" s="71">
        <f t="shared" si="1"/>
        <v>0.39999999999999991</v>
      </c>
      <c r="J7" s="71">
        <f t="shared" si="1"/>
        <v>0.39999999999999991</v>
      </c>
      <c r="K7" s="71">
        <f t="shared" si="1"/>
        <v>0.39999999999999991</v>
      </c>
      <c r="L7" s="71">
        <f t="shared" si="1"/>
        <v>0.39999999999999991</v>
      </c>
      <c r="M7" s="71">
        <f t="shared" si="1"/>
        <v>0.39999999999999991</v>
      </c>
      <c r="N7" s="71">
        <f t="shared" si="1"/>
        <v>0.39999999999999991</v>
      </c>
      <c r="O7" s="71">
        <f t="shared" si="1"/>
        <v>0.39999999999999991</v>
      </c>
      <c r="P7" s="71">
        <f t="shared" si="1"/>
        <v>0.39999999999999991</v>
      </c>
      <c r="Q7" s="71">
        <f t="shared" si="1"/>
        <v>0.39999999999999991</v>
      </c>
      <c r="R7" s="71">
        <f t="shared" si="1"/>
        <v>0.39999999999999991</v>
      </c>
      <c r="S7" s="71">
        <f t="shared" si="1"/>
        <v>0.39999999999999991</v>
      </c>
      <c r="T7" s="71">
        <f t="shared" si="1"/>
        <v>0.39999999999999991</v>
      </c>
      <c r="U7" s="71">
        <f t="shared" si="1"/>
        <v>0.39999999999999991</v>
      </c>
      <c r="V7" s="71">
        <f t="shared" si="1"/>
        <v>0.39999999999999991</v>
      </c>
      <c r="W7" s="71">
        <f t="shared" si="1"/>
        <v>0.39999999999999991</v>
      </c>
      <c r="X7" s="71">
        <f t="shared" si="1"/>
        <v>0.39999999999999991</v>
      </c>
      <c r="Y7" s="71">
        <f t="shared" si="1"/>
        <v>0.39999999999999991</v>
      </c>
      <c r="Z7" s="71">
        <f t="shared" si="1"/>
        <v>0.39999999999999991</v>
      </c>
    </row>
    <row r="8" spans="1:26" x14ac:dyDescent="0.2">
      <c r="A8" s="70" t="s">
        <v>179</v>
      </c>
      <c r="B8" s="71">
        <f>'Baseline Inputs'!B281/100</f>
        <v>0.56000000000000005</v>
      </c>
      <c r="C8" s="73">
        <f>IF(ISBLANK('Baseline Inputs'!C281), B8,'Baseline Inputs'!C281/100)</f>
        <v>0.56000000000000005</v>
      </c>
      <c r="D8" s="73">
        <f>IF(ISBLANK('Baseline Inputs'!D281), C8,'Baseline Inputs'!D281/100)</f>
        <v>0.56000000000000005</v>
      </c>
      <c r="E8" s="73">
        <f>IF(ISBLANK('Baseline Inputs'!E281), D8,'Baseline Inputs'!E281/100)</f>
        <v>0.56000000000000005</v>
      </c>
      <c r="F8" s="73">
        <f>IF(ISBLANK('Baseline Inputs'!F281), E8,'Baseline Inputs'!F281/100)</f>
        <v>0.56000000000000005</v>
      </c>
      <c r="G8" s="71">
        <f t="shared" ref="G8:Z9" si="2">F8</f>
        <v>0.56000000000000005</v>
      </c>
      <c r="H8" s="71">
        <f t="shared" si="2"/>
        <v>0.56000000000000005</v>
      </c>
      <c r="I8" s="71">
        <f t="shared" si="2"/>
        <v>0.56000000000000005</v>
      </c>
      <c r="J8" s="71">
        <f t="shared" si="2"/>
        <v>0.56000000000000005</v>
      </c>
      <c r="K8" s="71">
        <f t="shared" si="2"/>
        <v>0.56000000000000005</v>
      </c>
      <c r="L8" s="71">
        <f t="shared" si="2"/>
        <v>0.56000000000000005</v>
      </c>
      <c r="M8" s="71">
        <f t="shared" si="2"/>
        <v>0.56000000000000005</v>
      </c>
      <c r="N8" s="71">
        <f t="shared" si="2"/>
        <v>0.56000000000000005</v>
      </c>
      <c r="O8" s="71">
        <f t="shared" si="2"/>
        <v>0.56000000000000005</v>
      </c>
      <c r="P8" s="71">
        <f t="shared" si="2"/>
        <v>0.56000000000000005</v>
      </c>
      <c r="Q8" s="71">
        <f t="shared" si="2"/>
        <v>0.56000000000000005</v>
      </c>
      <c r="R8" s="71">
        <f t="shared" si="2"/>
        <v>0.56000000000000005</v>
      </c>
      <c r="S8" s="71">
        <f t="shared" si="2"/>
        <v>0.56000000000000005</v>
      </c>
      <c r="T8" s="71">
        <f t="shared" si="2"/>
        <v>0.56000000000000005</v>
      </c>
      <c r="U8" s="71">
        <f t="shared" si="2"/>
        <v>0.56000000000000005</v>
      </c>
      <c r="V8" s="71">
        <f t="shared" si="2"/>
        <v>0.56000000000000005</v>
      </c>
      <c r="W8" s="71">
        <f t="shared" si="2"/>
        <v>0.56000000000000005</v>
      </c>
      <c r="X8" s="71">
        <f t="shared" si="2"/>
        <v>0.56000000000000005</v>
      </c>
      <c r="Y8" s="71">
        <f t="shared" si="2"/>
        <v>0.56000000000000005</v>
      </c>
      <c r="Z8" s="71">
        <f t="shared" si="2"/>
        <v>0.56000000000000005</v>
      </c>
    </row>
    <row r="9" spans="1:26" x14ac:dyDescent="0.2">
      <c r="A9" s="70" t="s">
        <v>180</v>
      </c>
      <c r="B9" s="71">
        <f>'Baseline Inputs'!B282/100</f>
        <v>0.04</v>
      </c>
      <c r="C9" s="73">
        <f>IF(ISBLANK('Baseline Inputs'!C282), B9,'Baseline Inputs'!C282/100)</f>
        <v>0.04</v>
      </c>
      <c r="D9" s="73">
        <f>IF(ISBLANK('Baseline Inputs'!D282), C9,'Baseline Inputs'!D282/100)</f>
        <v>0.04</v>
      </c>
      <c r="E9" s="73">
        <f>IF(ISBLANK('Baseline Inputs'!E282), D9,'Baseline Inputs'!E282/100)</f>
        <v>0.04</v>
      </c>
      <c r="F9" s="73">
        <f>IF(ISBLANK('Baseline Inputs'!F282), E9,'Baseline Inputs'!F282/100)</f>
        <v>0.04</v>
      </c>
      <c r="G9" s="71">
        <f t="shared" si="2"/>
        <v>0.04</v>
      </c>
      <c r="H9" s="71">
        <f t="shared" si="2"/>
        <v>0.04</v>
      </c>
      <c r="I9" s="71">
        <f t="shared" si="2"/>
        <v>0.04</v>
      </c>
      <c r="J9" s="71">
        <f t="shared" si="2"/>
        <v>0.04</v>
      </c>
      <c r="K9" s="71">
        <f t="shared" si="2"/>
        <v>0.04</v>
      </c>
      <c r="L9" s="71">
        <f t="shared" si="2"/>
        <v>0.04</v>
      </c>
      <c r="M9" s="71">
        <f t="shared" si="2"/>
        <v>0.04</v>
      </c>
      <c r="N9" s="71">
        <f t="shared" si="2"/>
        <v>0.04</v>
      </c>
      <c r="O9" s="71">
        <f t="shared" si="2"/>
        <v>0.04</v>
      </c>
      <c r="P9" s="71">
        <f t="shared" si="2"/>
        <v>0.04</v>
      </c>
      <c r="Q9" s="71">
        <f t="shared" si="2"/>
        <v>0.04</v>
      </c>
      <c r="R9" s="71">
        <f t="shared" si="2"/>
        <v>0.04</v>
      </c>
      <c r="S9" s="71">
        <f t="shared" si="2"/>
        <v>0.04</v>
      </c>
      <c r="T9" s="71">
        <f t="shared" si="2"/>
        <v>0.04</v>
      </c>
      <c r="U9" s="71">
        <f t="shared" si="2"/>
        <v>0.04</v>
      </c>
      <c r="V9" s="71">
        <f t="shared" si="2"/>
        <v>0.04</v>
      </c>
      <c r="W9" s="71">
        <f t="shared" si="2"/>
        <v>0.04</v>
      </c>
      <c r="X9" s="71">
        <f t="shared" si="2"/>
        <v>0.04</v>
      </c>
      <c r="Y9" s="71">
        <f t="shared" si="2"/>
        <v>0.04</v>
      </c>
      <c r="Z9" s="71">
        <f t="shared" si="2"/>
        <v>0.04</v>
      </c>
    </row>
    <row r="10" spans="1:26" x14ac:dyDescent="0.2">
      <c r="A10" s="70" t="s">
        <v>119</v>
      </c>
      <c r="B10" s="71">
        <f>'Baseline Inputs'!B285/100</f>
        <v>8.3400000000000002E-2</v>
      </c>
      <c r="C10" s="73">
        <f>IF(ISBLANK('Baseline Inputs'!C285), B10,'Baseline Inputs'!C285/100)</f>
        <v>8.3400000000000002E-2</v>
      </c>
      <c r="D10" s="73">
        <f>IF(ISBLANK('Baseline Inputs'!D285), C10,'Baseline Inputs'!D285/100)</f>
        <v>8.3400000000000002E-2</v>
      </c>
      <c r="E10" s="73">
        <f>IF(ISBLANK('Baseline Inputs'!E285), D10,'Baseline Inputs'!E285/100)</f>
        <v>8.3400000000000002E-2</v>
      </c>
      <c r="F10" s="73">
        <f>IF(ISBLANK('Baseline Inputs'!F285), E10,'Baseline Inputs'!F285/100)</f>
        <v>8.3400000000000002E-2</v>
      </c>
      <c r="G10" s="71">
        <f t="shared" ref="G10:Z10" si="3">F10</f>
        <v>8.3400000000000002E-2</v>
      </c>
      <c r="H10" s="71">
        <f t="shared" si="3"/>
        <v>8.3400000000000002E-2</v>
      </c>
      <c r="I10" s="71">
        <f t="shared" si="3"/>
        <v>8.3400000000000002E-2</v>
      </c>
      <c r="J10" s="71">
        <f t="shared" si="3"/>
        <v>8.3400000000000002E-2</v>
      </c>
      <c r="K10" s="71">
        <f t="shared" si="3"/>
        <v>8.3400000000000002E-2</v>
      </c>
      <c r="L10" s="71">
        <f t="shared" si="3"/>
        <v>8.3400000000000002E-2</v>
      </c>
      <c r="M10" s="71">
        <f t="shared" si="3"/>
        <v>8.3400000000000002E-2</v>
      </c>
      <c r="N10" s="71">
        <f t="shared" si="3"/>
        <v>8.3400000000000002E-2</v>
      </c>
      <c r="O10" s="71">
        <f t="shared" si="3"/>
        <v>8.3400000000000002E-2</v>
      </c>
      <c r="P10" s="71">
        <f t="shared" si="3"/>
        <v>8.3400000000000002E-2</v>
      </c>
      <c r="Q10" s="71">
        <f t="shared" si="3"/>
        <v>8.3400000000000002E-2</v>
      </c>
      <c r="R10" s="71">
        <f t="shared" si="3"/>
        <v>8.3400000000000002E-2</v>
      </c>
      <c r="S10" s="71">
        <f t="shared" si="3"/>
        <v>8.3400000000000002E-2</v>
      </c>
      <c r="T10" s="71">
        <f t="shared" si="3"/>
        <v>8.3400000000000002E-2</v>
      </c>
      <c r="U10" s="71">
        <f t="shared" si="3"/>
        <v>8.3400000000000002E-2</v>
      </c>
      <c r="V10" s="71">
        <f t="shared" si="3"/>
        <v>8.3400000000000002E-2</v>
      </c>
      <c r="W10" s="71">
        <f t="shared" si="3"/>
        <v>8.3400000000000002E-2</v>
      </c>
      <c r="X10" s="71">
        <f t="shared" si="3"/>
        <v>8.3400000000000002E-2</v>
      </c>
      <c r="Y10" s="71">
        <f t="shared" si="3"/>
        <v>8.3400000000000002E-2</v>
      </c>
      <c r="Z10" s="71">
        <f t="shared" si="3"/>
        <v>8.3400000000000002E-2</v>
      </c>
    </row>
    <row r="11" spans="1:26" x14ac:dyDescent="0.2">
      <c r="A11" s="70" t="s">
        <v>181</v>
      </c>
      <c r="B11" s="71">
        <f>'Baseline Inputs'!B283/100</f>
        <v>2.8500000000000001E-2</v>
      </c>
      <c r="C11" s="73">
        <f>IF(ISBLANK('Baseline Inputs'!C283), B11,'Baseline Inputs'!C283/100)</f>
        <v>2.8500000000000001E-2</v>
      </c>
      <c r="D11" s="73">
        <f>IF(ISBLANK('Baseline Inputs'!D283), C11,'Baseline Inputs'!D283/100)</f>
        <v>2.8500000000000001E-2</v>
      </c>
      <c r="E11" s="73">
        <f>IF(ISBLANK('Baseline Inputs'!E283), D11,'Baseline Inputs'!E283/100)</f>
        <v>2.8500000000000001E-2</v>
      </c>
      <c r="F11" s="73">
        <f>IF(ISBLANK('Baseline Inputs'!F283), E11,'Baseline Inputs'!F283/100)</f>
        <v>2.8500000000000001E-2</v>
      </c>
      <c r="G11" s="71">
        <f t="shared" ref="G11:Z12" si="4">F11</f>
        <v>2.8500000000000001E-2</v>
      </c>
      <c r="H11" s="71">
        <f t="shared" si="4"/>
        <v>2.8500000000000001E-2</v>
      </c>
      <c r="I11" s="71">
        <f t="shared" si="4"/>
        <v>2.8500000000000001E-2</v>
      </c>
      <c r="J11" s="71">
        <f t="shared" si="4"/>
        <v>2.8500000000000001E-2</v>
      </c>
      <c r="K11" s="71">
        <f t="shared" si="4"/>
        <v>2.8500000000000001E-2</v>
      </c>
      <c r="L11" s="71">
        <f t="shared" si="4"/>
        <v>2.8500000000000001E-2</v>
      </c>
      <c r="M11" s="71">
        <f t="shared" si="4"/>
        <v>2.8500000000000001E-2</v>
      </c>
      <c r="N11" s="71">
        <f t="shared" si="4"/>
        <v>2.8500000000000001E-2</v>
      </c>
      <c r="O11" s="71">
        <f t="shared" si="4"/>
        <v>2.8500000000000001E-2</v>
      </c>
      <c r="P11" s="71">
        <f t="shared" si="4"/>
        <v>2.8500000000000001E-2</v>
      </c>
      <c r="Q11" s="71">
        <f t="shared" si="4"/>
        <v>2.8500000000000001E-2</v>
      </c>
      <c r="R11" s="71">
        <f t="shared" si="4"/>
        <v>2.8500000000000001E-2</v>
      </c>
      <c r="S11" s="71">
        <f t="shared" si="4"/>
        <v>2.8500000000000001E-2</v>
      </c>
      <c r="T11" s="71">
        <f t="shared" si="4"/>
        <v>2.8500000000000001E-2</v>
      </c>
      <c r="U11" s="71">
        <f t="shared" si="4"/>
        <v>2.8500000000000001E-2</v>
      </c>
      <c r="V11" s="71">
        <f t="shared" si="4"/>
        <v>2.8500000000000001E-2</v>
      </c>
      <c r="W11" s="71">
        <f t="shared" si="4"/>
        <v>2.8500000000000001E-2</v>
      </c>
      <c r="X11" s="71">
        <f t="shared" si="4"/>
        <v>2.8500000000000001E-2</v>
      </c>
      <c r="Y11" s="71">
        <f t="shared" si="4"/>
        <v>2.8500000000000001E-2</v>
      </c>
      <c r="Z11" s="71">
        <f t="shared" si="4"/>
        <v>2.8500000000000001E-2</v>
      </c>
    </row>
    <row r="12" spans="1:26" x14ac:dyDescent="0.2">
      <c r="A12" s="70" t="s">
        <v>182</v>
      </c>
      <c r="B12" s="71">
        <f>'Baseline Inputs'!B284/100</f>
        <v>1.7500000000000002E-2</v>
      </c>
      <c r="C12" s="73">
        <f>IF(ISBLANK('Baseline Inputs'!C284), B12,'Baseline Inputs'!C284/100)</f>
        <v>1.7500000000000002E-2</v>
      </c>
      <c r="D12" s="73">
        <f>IF(ISBLANK('Baseline Inputs'!D284), C12,'Baseline Inputs'!D284/100)</f>
        <v>1.7500000000000002E-2</v>
      </c>
      <c r="E12" s="73">
        <f>IF(ISBLANK('Baseline Inputs'!E284), D12,'Baseline Inputs'!E284/100)</f>
        <v>1.7500000000000002E-2</v>
      </c>
      <c r="F12" s="73">
        <f>IF(ISBLANK('Baseline Inputs'!F284), E12,'Baseline Inputs'!F284/100)</f>
        <v>1.7500000000000002E-2</v>
      </c>
      <c r="G12" s="71">
        <f t="shared" si="4"/>
        <v>1.7500000000000002E-2</v>
      </c>
      <c r="H12" s="71">
        <f t="shared" si="4"/>
        <v>1.7500000000000002E-2</v>
      </c>
      <c r="I12" s="71">
        <f t="shared" si="4"/>
        <v>1.7500000000000002E-2</v>
      </c>
      <c r="J12" s="71">
        <f t="shared" si="4"/>
        <v>1.7500000000000002E-2</v>
      </c>
      <c r="K12" s="71">
        <f t="shared" si="4"/>
        <v>1.7500000000000002E-2</v>
      </c>
      <c r="L12" s="71">
        <f t="shared" si="4"/>
        <v>1.7500000000000002E-2</v>
      </c>
      <c r="M12" s="71">
        <f t="shared" si="4"/>
        <v>1.7500000000000002E-2</v>
      </c>
      <c r="N12" s="71">
        <f t="shared" si="4"/>
        <v>1.7500000000000002E-2</v>
      </c>
      <c r="O12" s="71">
        <f t="shared" si="4"/>
        <v>1.7500000000000002E-2</v>
      </c>
      <c r="P12" s="71">
        <f t="shared" si="4"/>
        <v>1.7500000000000002E-2</v>
      </c>
      <c r="Q12" s="71">
        <f t="shared" si="4"/>
        <v>1.7500000000000002E-2</v>
      </c>
      <c r="R12" s="71">
        <f t="shared" si="4"/>
        <v>1.7500000000000002E-2</v>
      </c>
      <c r="S12" s="71">
        <f t="shared" si="4"/>
        <v>1.7500000000000002E-2</v>
      </c>
      <c r="T12" s="71">
        <f t="shared" si="4"/>
        <v>1.7500000000000002E-2</v>
      </c>
      <c r="U12" s="71">
        <f t="shared" si="4"/>
        <v>1.7500000000000002E-2</v>
      </c>
      <c r="V12" s="71">
        <f t="shared" si="4"/>
        <v>1.7500000000000002E-2</v>
      </c>
      <c r="W12" s="71">
        <f t="shared" si="4"/>
        <v>1.7500000000000002E-2</v>
      </c>
      <c r="X12" s="71">
        <f t="shared" si="4"/>
        <v>1.7500000000000002E-2</v>
      </c>
      <c r="Y12" s="71">
        <f t="shared" si="4"/>
        <v>1.7500000000000002E-2</v>
      </c>
      <c r="Z12" s="71">
        <f t="shared" si="4"/>
        <v>1.7500000000000002E-2</v>
      </c>
    </row>
    <row r="13" spans="1:26" x14ac:dyDescent="0.2">
      <c r="A13" s="70" t="s">
        <v>107</v>
      </c>
      <c r="B13" s="71">
        <f>'Baseline Inputs'!B292/100</f>
        <v>0.26500000000000001</v>
      </c>
      <c r="C13" s="73">
        <f>IF(ISBLANK('Baseline Inputs'!C292), B13,'Baseline Inputs'!C292/100)</f>
        <v>0.26500000000000001</v>
      </c>
      <c r="D13" s="73">
        <f>IF(ISBLANK('Baseline Inputs'!D292), C13,'Baseline Inputs'!D292/100)</f>
        <v>0.26500000000000001</v>
      </c>
      <c r="E13" s="73">
        <f>IF(ISBLANK('Baseline Inputs'!E292), D13,'Baseline Inputs'!E292/100)</f>
        <v>0.26500000000000001</v>
      </c>
      <c r="F13" s="73">
        <f>IF(ISBLANK('Baseline Inputs'!F292), E13,'Baseline Inputs'!F292/100)</f>
        <v>0.26500000000000001</v>
      </c>
      <c r="G13" s="71">
        <f>F13</f>
        <v>0.26500000000000001</v>
      </c>
      <c r="H13" s="71">
        <f t="shared" ref="H13:Z13" si="5">G13</f>
        <v>0.26500000000000001</v>
      </c>
      <c r="I13" s="71">
        <f t="shared" si="5"/>
        <v>0.26500000000000001</v>
      </c>
      <c r="J13" s="71">
        <f t="shared" si="5"/>
        <v>0.26500000000000001</v>
      </c>
      <c r="K13" s="71">
        <f t="shared" si="5"/>
        <v>0.26500000000000001</v>
      </c>
      <c r="L13" s="71">
        <f t="shared" si="5"/>
        <v>0.26500000000000001</v>
      </c>
      <c r="M13" s="71">
        <f t="shared" si="5"/>
        <v>0.26500000000000001</v>
      </c>
      <c r="N13" s="71">
        <f t="shared" si="5"/>
        <v>0.26500000000000001</v>
      </c>
      <c r="O13" s="71">
        <f t="shared" si="5"/>
        <v>0.26500000000000001</v>
      </c>
      <c r="P13" s="71">
        <f t="shared" si="5"/>
        <v>0.26500000000000001</v>
      </c>
      <c r="Q13" s="71">
        <f t="shared" si="5"/>
        <v>0.26500000000000001</v>
      </c>
      <c r="R13" s="71">
        <f t="shared" si="5"/>
        <v>0.26500000000000001</v>
      </c>
      <c r="S13" s="71">
        <f t="shared" si="5"/>
        <v>0.26500000000000001</v>
      </c>
      <c r="T13" s="71">
        <f t="shared" si="5"/>
        <v>0.26500000000000001</v>
      </c>
      <c r="U13" s="71">
        <f t="shared" si="5"/>
        <v>0.26500000000000001</v>
      </c>
      <c r="V13" s="71">
        <f t="shared" si="5"/>
        <v>0.26500000000000001</v>
      </c>
      <c r="W13" s="71">
        <f t="shared" si="5"/>
        <v>0.26500000000000001</v>
      </c>
      <c r="X13" s="71">
        <f t="shared" si="5"/>
        <v>0.26500000000000001</v>
      </c>
      <c r="Y13" s="71">
        <f t="shared" si="5"/>
        <v>0.26500000000000001</v>
      </c>
      <c r="Z13" s="71">
        <f t="shared" si="5"/>
        <v>0.26500000000000001</v>
      </c>
    </row>
    <row r="14" spans="1:26" x14ac:dyDescent="0.2">
      <c r="A14" s="70"/>
      <c r="B14" s="71"/>
      <c r="C14" s="70"/>
      <c r="D14" s="70"/>
      <c r="E14" s="70"/>
      <c r="F14" s="70"/>
      <c r="G14" s="70"/>
      <c r="H14" s="70"/>
      <c r="I14" s="70"/>
      <c r="J14" s="70"/>
      <c r="K14" s="70"/>
      <c r="L14" s="70"/>
      <c r="M14" s="70"/>
      <c r="N14" s="70"/>
      <c r="O14" s="70"/>
      <c r="P14" s="70"/>
      <c r="Q14" s="70"/>
      <c r="R14" s="70"/>
      <c r="S14" s="70"/>
      <c r="T14" s="70"/>
      <c r="U14" s="70"/>
      <c r="V14" s="70"/>
      <c r="W14" s="70"/>
      <c r="X14" s="70"/>
      <c r="Y14" s="70"/>
      <c r="Z14" s="70"/>
    </row>
    <row r="15" spans="1:26" x14ac:dyDescent="0.2">
      <c r="A15" s="70" t="s">
        <v>120</v>
      </c>
      <c r="B15" s="71">
        <f>(B7*B10+(B11*(1-B13)*B8)+(B12*(1-B13)*B9))/2</f>
        <v>2.2802549999999998E-2</v>
      </c>
      <c r="C15" s="71">
        <f>(C7*C10+(C11*(1-C13)*C8)+(C12*(1-C13)*C9))</f>
        <v>4.5605099999999996E-2</v>
      </c>
      <c r="D15" s="71">
        <f t="shared" ref="D15:Z15" si="6">(D7*D10+(D11*(1-D13)*D8)+(D12*(1-D13)*D9))</f>
        <v>4.5605099999999996E-2</v>
      </c>
      <c r="E15" s="71">
        <f t="shared" si="6"/>
        <v>4.5605099999999996E-2</v>
      </c>
      <c r="F15" s="71">
        <f t="shared" si="6"/>
        <v>4.5605099999999996E-2</v>
      </c>
      <c r="G15" s="71">
        <f t="shared" si="6"/>
        <v>4.5605099999999996E-2</v>
      </c>
      <c r="H15" s="71">
        <f t="shared" si="6"/>
        <v>4.5605099999999996E-2</v>
      </c>
      <c r="I15" s="71">
        <f t="shared" si="6"/>
        <v>4.5605099999999996E-2</v>
      </c>
      <c r="J15" s="71">
        <f t="shared" si="6"/>
        <v>4.5605099999999996E-2</v>
      </c>
      <c r="K15" s="71">
        <f t="shared" si="6"/>
        <v>4.5605099999999996E-2</v>
      </c>
      <c r="L15" s="71">
        <f t="shared" si="6"/>
        <v>4.5605099999999996E-2</v>
      </c>
      <c r="M15" s="71">
        <f t="shared" si="6"/>
        <v>4.5605099999999996E-2</v>
      </c>
      <c r="N15" s="71">
        <f t="shared" si="6"/>
        <v>4.5605099999999996E-2</v>
      </c>
      <c r="O15" s="71">
        <f t="shared" si="6"/>
        <v>4.5605099999999996E-2</v>
      </c>
      <c r="P15" s="71">
        <f t="shared" si="6"/>
        <v>4.5605099999999996E-2</v>
      </c>
      <c r="Q15" s="71">
        <f t="shared" si="6"/>
        <v>4.5605099999999996E-2</v>
      </c>
      <c r="R15" s="71">
        <f t="shared" si="6"/>
        <v>4.5605099999999996E-2</v>
      </c>
      <c r="S15" s="71">
        <f t="shared" si="6"/>
        <v>4.5605099999999996E-2</v>
      </c>
      <c r="T15" s="71">
        <f t="shared" si="6"/>
        <v>4.5605099999999996E-2</v>
      </c>
      <c r="U15" s="71">
        <f t="shared" si="6"/>
        <v>4.5605099999999996E-2</v>
      </c>
      <c r="V15" s="71">
        <f t="shared" si="6"/>
        <v>4.5605099999999996E-2</v>
      </c>
      <c r="W15" s="71">
        <f t="shared" si="6"/>
        <v>4.5605099999999996E-2</v>
      </c>
      <c r="X15" s="71">
        <f t="shared" si="6"/>
        <v>4.5605099999999996E-2</v>
      </c>
      <c r="Y15" s="71">
        <f t="shared" si="6"/>
        <v>4.5605099999999996E-2</v>
      </c>
      <c r="Z15" s="71">
        <f t="shared" si="6"/>
        <v>4.5605099999999996E-2</v>
      </c>
    </row>
    <row r="16" spans="1:26" x14ac:dyDescent="0.2">
      <c r="A16" s="70" t="s">
        <v>121</v>
      </c>
      <c r="B16" s="70"/>
      <c r="C16" s="70"/>
      <c r="D16" s="70"/>
      <c r="E16" s="70"/>
      <c r="F16" s="70"/>
      <c r="G16" s="70"/>
      <c r="H16" s="70"/>
      <c r="I16" s="70"/>
      <c r="J16" s="70"/>
      <c r="K16" s="70"/>
      <c r="L16" s="70"/>
      <c r="M16" s="70"/>
      <c r="N16" s="70"/>
      <c r="O16" s="70"/>
      <c r="P16" s="70"/>
      <c r="Q16" s="70"/>
      <c r="R16" s="70"/>
      <c r="S16" s="70"/>
      <c r="T16" s="70"/>
      <c r="U16" s="70"/>
      <c r="V16" s="70"/>
      <c r="W16" s="70"/>
      <c r="X16" s="70"/>
      <c r="Y16" s="70"/>
      <c r="Z16" s="70"/>
    </row>
    <row r="17" spans="1:26" x14ac:dyDescent="0.2">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row>
    <row r="18" spans="1:26" x14ac:dyDescent="0.2">
      <c r="A18" s="70" t="s">
        <v>122</v>
      </c>
      <c r="B18" s="72">
        <f>1+B15</f>
        <v>1.02280255</v>
      </c>
      <c r="C18" s="72">
        <f>B18* (1+C15)</f>
        <v>1.0694475625730049</v>
      </c>
      <c r="D18" s="72">
        <f>C18* (1+D15)</f>
        <v>1.1182198256089029</v>
      </c>
      <c r="E18" s="72">
        <f t="shared" ref="E18:Z18" si="7">D18* (1+E15)</f>
        <v>1.1692163525777794</v>
      </c>
      <c r="F18" s="72">
        <f t="shared" si="7"/>
        <v>1.2225385812587244</v>
      </c>
      <c r="G18" s="72">
        <f t="shared" si="7"/>
        <v>1.2782925755108865</v>
      </c>
      <c r="H18" s="72">
        <f t="shared" si="7"/>
        <v>1.3365892362463179</v>
      </c>
      <c r="I18" s="72">
        <f t="shared" si="7"/>
        <v>1.3975445220242548</v>
      </c>
      <c r="J18" s="72">
        <f t="shared" si="7"/>
        <v>1.4612796797056231</v>
      </c>
      <c r="K18" s="72">
        <f t="shared" si="7"/>
        <v>1.5279214856265659</v>
      </c>
      <c r="L18" s="72">
        <f t="shared" si="7"/>
        <v>1.5976024977707139</v>
      </c>
      <c r="M18" s="72">
        <f t="shared" si="7"/>
        <v>1.670461319441797</v>
      </c>
      <c r="N18" s="72">
        <f t="shared" si="7"/>
        <v>1.7466428749610721</v>
      </c>
      <c r="O18" s="72">
        <f t="shared" si="7"/>
        <v>1.8262986979379592</v>
      </c>
      <c r="P18" s="72">
        <f t="shared" si="7"/>
        <v>1.9095872326872896</v>
      </c>
      <c r="Q18" s="72">
        <f t="shared" si="7"/>
        <v>1.9966741493927167</v>
      </c>
      <c r="R18" s="72">
        <f t="shared" si="7"/>
        <v>2.0877326736431865</v>
      </c>
      <c r="S18" s="72">
        <f t="shared" si="7"/>
        <v>2.1829439309979515</v>
      </c>
      <c r="T18" s="72">
        <f t="shared" si="7"/>
        <v>2.2824973072655061</v>
      </c>
      <c r="U18" s="72">
        <f t="shared" si="7"/>
        <v>2.3865908252130801</v>
      </c>
      <c r="V18" s="72">
        <f t="shared" si="7"/>
        <v>2.4954315384560051</v>
      </c>
      <c r="W18" s="72">
        <f t="shared" si="7"/>
        <v>2.6092359433104448</v>
      </c>
      <c r="X18" s="72">
        <f t="shared" si="7"/>
        <v>2.7282304094287118</v>
      </c>
      <c r="Y18" s="72">
        <f t="shared" si="7"/>
        <v>2.852651630073749</v>
      </c>
      <c r="Z18" s="72">
        <f t="shared" si="7"/>
        <v>2.9827470929284252</v>
      </c>
    </row>
    <row r="25" spans="1:26" x14ac:dyDescent="0.2">
      <c r="B25" s="24"/>
      <c r="C25" s="40"/>
      <c r="D25" s="40"/>
    </row>
    <row r="26" spans="1:26" x14ac:dyDescent="0.2">
      <c r="B26" s="24"/>
      <c r="C26" s="40"/>
      <c r="D26" s="40"/>
    </row>
    <row r="27" spans="1:26" x14ac:dyDescent="0.2">
      <c r="B27" s="24"/>
      <c r="C27" s="40"/>
      <c r="D27" s="40"/>
    </row>
    <row r="28" spans="1:26" x14ac:dyDescent="0.2">
      <c r="B28" s="64"/>
      <c r="C28" s="40"/>
      <c r="D28" s="40"/>
    </row>
    <row r="29" spans="1:26" x14ac:dyDescent="0.2">
      <c r="D29" s="40"/>
    </row>
    <row r="30" spans="1:26" x14ac:dyDescent="0.2">
      <c r="D30" s="40"/>
    </row>
    <row r="34" spans="1:6" x14ac:dyDescent="0.2">
      <c r="A34" s="4"/>
    </row>
    <row r="35" spans="1:6" x14ac:dyDescent="0.2">
      <c r="A35" s="4"/>
      <c r="B35" s="39"/>
      <c r="D35" s="1"/>
      <c r="F35" s="1"/>
    </row>
    <row r="36" spans="1:6" x14ac:dyDescent="0.2">
      <c r="A36" s="4"/>
      <c r="B36" s="39"/>
      <c r="D36" s="1"/>
      <c r="F36" s="1"/>
    </row>
    <row r="37" spans="1:6" x14ac:dyDescent="0.2">
      <c r="A37" s="4"/>
      <c r="B37" s="39"/>
      <c r="D37" s="1"/>
      <c r="F37" s="1"/>
    </row>
    <row r="38" spans="1:6" x14ac:dyDescent="0.2">
      <c r="A38" s="4"/>
      <c r="B38" s="39"/>
      <c r="D38" s="1"/>
      <c r="F38" s="1"/>
    </row>
    <row r="39" spans="1:6" x14ac:dyDescent="0.2">
      <c r="A39" s="4"/>
      <c r="B39" s="39"/>
      <c r="D39" s="1"/>
      <c r="F39" s="1"/>
    </row>
    <row r="40" spans="1:6" x14ac:dyDescent="0.2">
      <c r="A40" s="4"/>
      <c r="B40" s="39"/>
      <c r="D40" s="1"/>
      <c r="F40" s="1"/>
    </row>
    <row r="41" spans="1:6" x14ac:dyDescent="0.2">
      <c r="A41" s="4"/>
      <c r="B41" s="39"/>
      <c r="D41" s="1"/>
      <c r="F41" s="1"/>
    </row>
    <row r="42" spans="1:6" x14ac:dyDescent="0.2">
      <c r="A42" s="4"/>
      <c r="B42" s="39"/>
      <c r="D42" s="1"/>
      <c r="F42" s="1"/>
    </row>
    <row r="43" spans="1:6" x14ac:dyDescent="0.2">
      <c r="A43" s="4"/>
      <c r="B43" s="39"/>
      <c r="D43" s="1"/>
      <c r="F43" s="1"/>
    </row>
    <row r="44" spans="1:6" x14ac:dyDescent="0.2">
      <c r="A44" s="4"/>
      <c r="B44" s="39"/>
      <c r="D44" s="1"/>
      <c r="F44" s="1"/>
    </row>
    <row r="45" spans="1:6" x14ac:dyDescent="0.2">
      <c r="A45" s="4"/>
      <c r="B45" s="39"/>
      <c r="D45" s="1"/>
      <c r="F45" s="1"/>
    </row>
    <row r="46" spans="1:6" x14ac:dyDescent="0.2">
      <c r="A46" s="4"/>
      <c r="B46" s="39"/>
      <c r="D46" s="1"/>
      <c r="F46" s="1"/>
    </row>
    <row r="47" spans="1:6" x14ac:dyDescent="0.2">
      <c r="A47" s="4"/>
      <c r="B47" s="39"/>
      <c r="D47" s="1"/>
      <c r="F47" s="1"/>
    </row>
    <row r="48" spans="1:6" x14ac:dyDescent="0.2">
      <c r="A48" s="4"/>
      <c r="B48" s="39"/>
      <c r="D48" s="1"/>
      <c r="F48" s="1"/>
    </row>
    <row r="49" spans="1:6" x14ac:dyDescent="0.2">
      <c r="A49" s="4"/>
      <c r="B49" s="39"/>
      <c r="D49" s="1"/>
      <c r="F49" s="1"/>
    </row>
    <row r="50" spans="1:6" x14ac:dyDescent="0.2">
      <c r="A50" s="4"/>
      <c r="B50" s="39"/>
      <c r="D50" s="1"/>
      <c r="F50" s="1"/>
    </row>
    <row r="51" spans="1:6" x14ac:dyDescent="0.2">
      <c r="A51" s="4"/>
      <c r="B51" s="39"/>
      <c r="D51" s="1"/>
      <c r="F51" s="1"/>
    </row>
    <row r="52" spans="1:6" x14ac:dyDescent="0.2">
      <c r="A52" s="4"/>
      <c r="B52" s="39"/>
      <c r="D52" s="1"/>
      <c r="F52" s="1"/>
    </row>
    <row r="53" spans="1:6" x14ac:dyDescent="0.2">
      <c r="A53" s="4"/>
      <c r="B53" s="39"/>
      <c r="D53" s="1"/>
      <c r="F53" s="1"/>
    </row>
    <row r="54" spans="1:6" x14ac:dyDescent="0.2">
      <c r="A54" s="4"/>
      <c r="B54" s="39"/>
      <c r="D54" s="1"/>
      <c r="F54" s="1"/>
    </row>
    <row r="55" spans="1:6" x14ac:dyDescent="0.2">
      <c r="A55" s="4"/>
      <c r="B55" s="39"/>
      <c r="D55" s="1"/>
      <c r="F55" s="1"/>
    </row>
    <row r="56" spans="1:6" x14ac:dyDescent="0.2">
      <c r="A56" s="4"/>
      <c r="B56" s="39"/>
      <c r="D56" s="1"/>
      <c r="F56" s="1"/>
    </row>
    <row r="57" spans="1:6" x14ac:dyDescent="0.2">
      <c r="A57" s="4"/>
      <c r="B57" s="39"/>
      <c r="D57" s="1"/>
      <c r="F57" s="1"/>
    </row>
    <row r="58" spans="1:6" x14ac:dyDescent="0.2">
      <c r="A58" s="4"/>
      <c r="B58" s="39"/>
      <c r="D58" s="1"/>
      <c r="F58" s="1"/>
    </row>
    <row r="59" spans="1:6" x14ac:dyDescent="0.2">
      <c r="A59" s="4"/>
      <c r="B59" s="39"/>
      <c r="D59" s="1"/>
      <c r="F59" s="1"/>
    </row>
    <row r="60" spans="1:6" x14ac:dyDescent="0.2">
      <c r="A60" s="4"/>
      <c r="B60" s="39"/>
      <c r="D60" s="1"/>
    </row>
    <row r="61" spans="1:6" x14ac:dyDescent="0.2">
      <c r="A61" s="4"/>
      <c r="B61" s="39"/>
      <c r="D61" s="1"/>
    </row>
    <row r="62" spans="1:6" x14ac:dyDescent="0.2">
      <c r="A62" s="4"/>
      <c r="B62" s="39"/>
      <c r="D62" s="1"/>
    </row>
    <row r="63" spans="1:6" x14ac:dyDescent="0.2">
      <c r="A63" s="4"/>
      <c r="B63" s="39"/>
      <c r="D63" s="1"/>
    </row>
    <row r="64" spans="1:6" x14ac:dyDescent="0.2">
      <c r="A64" s="4"/>
      <c r="B64" s="39"/>
      <c r="D64" s="1"/>
    </row>
    <row r="65" spans="1:4" x14ac:dyDescent="0.2">
      <c r="A65" s="4"/>
      <c r="B65" s="39"/>
      <c r="D65" s="1"/>
    </row>
    <row r="66" spans="1:4" x14ac:dyDescent="0.2">
      <c r="D66" s="1"/>
    </row>
    <row r="67" spans="1:4" x14ac:dyDescent="0.2">
      <c r="D67" s="1"/>
    </row>
    <row r="68" spans="1:4" x14ac:dyDescent="0.2">
      <c r="D68" s="1"/>
    </row>
    <row r="69" spans="1:4" x14ac:dyDescent="0.2">
      <c r="D69" s="1"/>
    </row>
    <row r="70" spans="1:4" x14ac:dyDescent="0.2">
      <c r="D70" s="1"/>
    </row>
    <row r="71" spans="1:4" x14ac:dyDescent="0.2">
      <c r="D71" s="1"/>
    </row>
    <row r="72" spans="1:4" x14ac:dyDescent="0.2">
      <c r="D72" s="1"/>
    </row>
    <row r="73" spans="1:4" x14ac:dyDescent="0.2">
      <c r="D73" s="1"/>
    </row>
    <row r="74" spans="1:4" x14ac:dyDescent="0.2">
      <c r="D74" s="1"/>
    </row>
  </sheetData>
  <phoneticPr fontId="0"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9"/>
  <sheetViews>
    <sheetView workbookViewId="0">
      <selection activeCell="C57" sqref="C57"/>
    </sheetView>
  </sheetViews>
  <sheetFormatPr defaultRowHeight="12.75" x14ac:dyDescent="0.2"/>
  <cols>
    <col min="1" max="1" width="35.7109375" customWidth="1"/>
    <col min="2" max="8" width="15.7109375" customWidth="1"/>
    <col min="9" max="9" width="5.7109375" customWidth="1"/>
    <col min="10" max="12" width="15.7109375" customWidth="1"/>
  </cols>
  <sheetData>
    <row r="1" spans="1:8" ht="23.25" x14ac:dyDescent="0.35">
      <c r="A1" s="43" t="s">
        <v>198</v>
      </c>
      <c r="B1" s="4"/>
      <c r="C1" s="39"/>
      <c r="D1" s="4"/>
      <c r="H1" s="41"/>
    </row>
    <row r="3" spans="1:8" x14ac:dyDescent="0.2">
      <c r="B3" s="121" t="s">
        <v>191</v>
      </c>
      <c r="C3" s="121" t="s">
        <v>5</v>
      </c>
      <c r="D3" s="121" t="s">
        <v>192</v>
      </c>
    </row>
    <row r="4" spans="1:8" x14ac:dyDescent="0.2">
      <c r="A4" s="20" t="str">
        <f>'Baseline Inputs'!A205</f>
        <v>1820 Distribution Station Equipment</v>
      </c>
      <c r="B4" s="228">
        <f>SUM('Baseline Inputs'!B205:F205)</f>
        <v>0</v>
      </c>
      <c r="C4" s="92">
        <f t="shared" ref="C4:C14" si="0">B4/B$25</f>
        <v>0</v>
      </c>
      <c r="D4" s="92">
        <f>'Baseline Inputs'!C252/100</f>
        <v>0.08</v>
      </c>
    </row>
    <row r="5" spans="1:8" x14ac:dyDescent="0.2">
      <c r="A5" s="20" t="str">
        <f>'Baseline Inputs'!A206</f>
        <v>1830 Poles, Towers &amp; Fixtures</v>
      </c>
      <c r="B5" s="228">
        <f>SUM('Baseline Inputs'!B206:F206)</f>
        <v>0</v>
      </c>
      <c r="C5" s="30">
        <f t="shared" si="0"/>
        <v>0</v>
      </c>
      <c r="D5" s="30">
        <f>'Baseline Inputs'!C253/100</f>
        <v>0.08</v>
      </c>
    </row>
    <row r="6" spans="1:8" x14ac:dyDescent="0.2">
      <c r="A6" s="20" t="str">
        <f>'Baseline Inputs'!A207</f>
        <v>1835 Overhead Conductors &amp; Devices</v>
      </c>
      <c r="B6" s="228">
        <f>SUM('Baseline Inputs'!B207:F207)</f>
        <v>0</v>
      </c>
      <c r="C6" s="30">
        <f t="shared" si="0"/>
        <v>0</v>
      </c>
      <c r="D6" s="30">
        <f>'Baseline Inputs'!C254/100</f>
        <v>0.08</v>
      </c>
    </row>
    <row r="7" spans="1:8" x14ac:dyDescent="0.2">
      <c r="A7" s="20" t="str">
        <f>'Baseline Inputs'!A208</f>
        <v>1840 Underground Conduit</v>
      </c>
      <c r="B7" s="228">
        <f>SUM('Baseline Inputs'!B208:F208)</f>
        <v>0</v>
      </c>
      <c r="C7" s="30">
        <f t="shared" si="0"/>
        <v>0</v>
      </c>
      <c r="D7" s="30">
        <f>'Baseline Inputs'!C255/100</f>
        <v>0.08</v>
      </c>
    </row>
    <row r="8" spans="1:8" x14ac:dyDescent="0.2">
      <c r="A8" s="20" t="str">
        <f>'Baseline Inputs'!A209</f>
        <v>1845 Underground Conductors &amp; Devices</v>
      </c>
      <c r="B8" s="228">
        <f>SUM('Baseline Inputs'!B209:F209)</f>
        <v>12218.77</v>
      </c>
      <c r="C8" s="30">
        <f t="shared" si="0"/>
        <v>0.23803699841364126</v>
      </c>
      <c r="D8" s="30">
        <f>'Baseline Inputs'!C256/100</f>
        <v>0.08</v>
      </c>
    </row>
    <row r="9" spans="1:8" x14ac:dyDescent="0.2">
      <c r="A9" s="20" t="str">
        <f>'Baseline Inputs'!A210</f>
        <v>1850 Transformers</v>
      </c>
      <c r="B9" s="228">
        <f>SUM('Baseline Inputs'!B210:F210)</f>
        <v>9478.81</v>
      </c>
      <c r="C9" s="30">
        <f t="shared" si="0"/>
        <v>0.18465913352434055</v>
      </c>
      <c r="D9" s="30">
        <f>'Baseline Inputs'!C257/100</f>
        <v>0.08</v>
      </c>
    </row>
    <row r="10" spans="1:8" x14ac:dyDescent="0.2">
      <c r="A10" s="20" t="str">
        <f>'Baseline Inputs'!A211</f>
        <v>1855 Services</v>
      </c>
      <c r="B10" s="228">
        <f>SUM('Baseline Inputs'!B211:F211)</f>
        <v>29633.81</v>
      </c>
      <c r="C10" s="30">
        <f t="shared" si="0"/>
        <v>0.57730386806201828</v>
      </c>
      <c r="D10" s="30">
        <f>'Baseline Inputs'!C258/100</f>
        <v>0.08</v>
      </c>
    </row>
    <row r="11" spans="1:8" x14ac:dyDescent="0.2">
      <c r="A11" s="20" t="str">
        <f>'Baseline Inputs'!A212</f>
        <v>1860 Meters</v>
      </c>
      <c r="B11" s="228">
        <f>SUM('Baseline Inputs'!B212:F212)</f>
        <v>0</v>
      </c>
      <c r="C11" s="30">
        <f t="shared" si="0"/>
        <v>0</v>
      </c>
      <c r="D11" s="30">
        <f>'Baseline Inputs'!C259/100</f>
        <v>0.08</v>
      </c>
    </row>
    <row r="12" spans="1:8" x14ac:dyDescent="0.2">
      <c r="A12" s="20">
        <f>'Baseline Inputs'!A213</f>
        <v>0</v>
      </c>
      <c r="B12" s="228">
        <f>SUM('Baseline Inputs'!B213:F213)</f>
        <v>0</v>
      </c>
      <c r="C12" s="30">
        <f t="shared" si="0"/>
        <v>0</v>
      </c>
      <c r="D12" s="30">
        <f>'Baseline Inputs'!C260/100</f>
        <v>0.08</v>
      </c>
    </row>
    <row r="13" spans="1:8" x14ac:dyDescent="0.2">
      <c r="A13" s="20">
        <f>'Baseline Inputs'!A214</f>
        <v>0</v>
      </c>
      <c r="B13" s="228">
        <f>SUM('Baseline Inputs'!B214:F214)</f>
        <v>0</v>
      </c>
      <c r="C13" s="30">
        <f t="shared" si="0"/>
        <v>0</v>
      </c>
      <c r="D13" s="30">
        <f>'Baseline Inputs'!C261/100</f>
        <v>0.08</v>
      </c>
    </row>
    <row r="14" spans="1:8" x14ac:dyDescent="0.2">
      <c r="A14" s="20" t="str">
        <f>'Baseline Inputs'!A218</f>
        <v>1820 Distribution Station Equipment</v>
      </c>
      <c r="B14" s="228">
        <f>SUM('Baseline Inputs'!B218:F218)</f>
        <v>0</v>
      </c>
      <c r="C14" s="30">
        <f t="shared" si="0"/>
        <v>0</v>
      </c>
      <c r="D14" s="30">
        <f>'Baseline Inputs'!C264/100</f>
        <v>0.08</v>
      </c>
    </row>
    <row r="15" spans="1:8" x14ac:dyDescent="0.2">
      <c r="A15" s="20" t="str">
        <f>'Baseline Inputs'!A219</f>
        <v>1830 Poles, Towers &amp; Fixtures</v>
      </c>
      <c r="B15" s="228">
        <f>SUM('Baseline Inputs'!B219:F219)</f>
        <v>0</v>
      </c>
      <c r="C15" s="30">
        <f t="shared" ref="C15:C22" si="1">B15/B$25</f>
        <v>0</v>
      </c>
      <c r="D15" s="30">
        <f>'Baseline Inputs'!C265/100</f>
        <v>0.08</v>
      </c>
    </row>
    <row r="16" spans="1:8" x14ac:dyDescent="0.2">
      <c r="A16" s="20" t="str">
        <f>'Baseline Inputs'!A220</f>
        <v>1835 Overhead Conductors &amp; Devices</v>
      </c>
      <c r="B16" s="228">
        <f>SUM('Baseline Inputs'!B220:F220)</f>
        <v>0</v>
      </c>
      <c r="C16" s="30">
        <f t="shared" si="1"/>
        <v>0</v>
      </c>
      <c r="D16" s="30">
        <f>'Baseline Inputs'!C266/100</f>
        <v>0.08</v>
      </c>
    </row>
    <row r="17" spans="1:12" x14ac:dyDescent="0.2">
      <c r="A17" s="20" t="str">
        <f>'Baseline Inputs'!A221</f>
        <v>1840 Underground Conduit</v>
      </c>
      <c r="B17" s="228">
        <f>SUM('Baseline Inputs'!B221:F221)</f>
        <v>0</v>
      </c>
      <c r="C17" s="30">
        <f t="shared" si="1"/>
        <v>0</v>
      </c>
      <c r="D17" s="30">
        <f>'Baseline Inputs'!C267/100</f>
        <v>0.08</v>
      </c>
    </row>
    <row r="18" spans="1:12" x14ac:dyDescent="0.2">
      <c r="A18" s="20" t="str">
        <f>'Baseline Inputs'!A222</f>
        <v>1845 Underground Conductors &amp; Devices</v>
      </c>
      <c r="B18" s="228">
        <f>SUM('Baseline Inputs'!B222:F222)</f>
        <v>0</v>
      </c>
      <c r="C18" s="30">
        <f t="shared" si="1"/>
        <v>0</v>
      </c>
      <c r="D18" s="30">
        <f>'Baseline Inputs'!C268/100</f>
        <v>0.08</v>
      </c>
    </row>
    <row r="19" spans="1:12" x14ac:dyDescent="0.2">
      <c r="A19" s="20" t="str">
        <f>'Baseline Inputs'!A223</f>
        <v>1850 Transformers</v>
      </c>
      <c r="B19" s="228">
        <f>SUM('Baseline Inputs'!B223:F223)</f>
        <v>0</v>
      </c>
      <c r="C19" s="30">
        <f t="shared" si="1"/>
        <v>0</v>
      </c>
      <c r="D19" s="30">
        <f>'Baseline Inputs'!C269/100</f>
        <v>0.08</v>
      </c>
    </row>
    <row r="20" spans="1:12" x14ac:dyDescent="0.2">
      <c r="A20" s="20" t="str">
        <f>'Baseline Inputs'!A224</f>
        <v>1855 Services</v>
      </c>
      <c r="B20" s="228">
        <f>SUM('Baseline Inputs'!B224:F224)</f>
        <v>0</v>
      </c>
      <c r="C20" s="30">
        <f t="shared" si="1"/>
        <v>0</v>
      </c>
      <c r="D20" s="30">
        <f>'Baseline Inputs'!C270/100</f>
        <v>0.08</v>
      </c>
    </row>
    <row r="21" spans="1:12" x14ac:dyDescent="0.2">
      <c r="A21" s="20" t="str">
        <f>'Baseline Inputs'!A225</f>
        <v>1860 Meters</v>
      </c>
      <c r="B21" s="228">
        <f>SUM('Baseline Inputs'!B225:F225)</f>
        <v>0</v>
      </c>
      <c r="C21" s="30">
        <f t="shared" si="1"/>
        <v>0</v>
      </c>
      <c r="D21" s="30">
        <f>'Baseline Inputs'!C271/100</f>
        <v>0.08</v>
      </c>
    </row>
    <row r="22" spans="1:12" x14ac:dyDescent="0.2">
      <c r="A22" s="20">
        <f>'Baseline Inputs'!A226</f>
        <v>0</v>
      </c>
      <c r="B22" s="228">
        <f>SUM('Baseline Inputs'!B226:F226)</f>
        <v>0</v>
      </c>
      <c r="C22" s="30">
        <f t="shared" si="1"/>
        <v>0</v>
      </c>
      <c r="D22" s="30">
        <f>'Baseline Inputs'!C272/100</f>
        <v>0.08</v>
      </c>
    </row>
    <row r="23" spans="1:12" x14ac:dyDescent="0.2">
      <c r="A23" s="20">
        <f>'Baseline Inputs'!A227</f>
        <v>0</v>
      </c>
      <c r="B23" s="228">
        <f>SUM('Baseline Inputs'!B227:F227)</f>
        <v>0</v>
      </c>
      <c r="C23" s="30">
        <f>B23/B$25</f>
        <v>0</v>
      </c>
      <c r="D23" s="30">
        <f>'Baseline Inputs'!C273/100</f>
        <v>0.08</v>
      </c>
    </row>
    <row r="24" spans="1:12" x14ac:dyDescent="0.2">
      <c r="A24" s="20" t="str">
        <f>'Baseline Inputs'!A230</f>
        <v>Land</v>
      </c>
      <c r="B24" s="228">
        <f>SUM('Baseline Inputs'!B230:F230)</f>
        <v>0</v>
      </c>
      <c r="C24" s="30">
        <f>B24/B$25</f>
        <v>0</v>
      </c>
      <c r="D24" s="30">
        <f>'Baseline Inputs'!C275/100</f>
        <v>0</v>
      </c>
    </row>
    <row r="25" spans="1:12" x14ac:dyDescent="0.2">
      <c r="A25" s="120" t="s">
        <v>35</v>
      </c>
      <c r="B25" s="230">
        <f>SUM(B4:B24)</f>
        <v>51331.39</v>
      </c>
      <c r="C25" s="231">
        <f>B25/B$25</f>
        <v>1</v>
      </c>
      <c r="D25" s="232">
        <f>SUMPRODUCT(C4:C24,D4:D24)</f>
        <v>8.0000000000000016E-2</v>
      </c>
    </row>
    <row r="27" spans="1:12" x14ac:dyDescent="0.2">
      <c r="J27" s="125"/>
      <c r="K27" s="126" t="s">
        <v>12</v>
      </c>
      <c r="L27" s="127"/>
    </row>
    <row r="28" spans="1:12" x14ac:dyDescent="0.2">
      <c r="B28" s="121" t="s">
        <v>66</v>
      </c>
      <c r="C28" s="121" t="s">
        <v>4</v>
      </c>
      <c r="D28" s="121" t="s">
        <v>67</v>
      </c>
      <c r="E28" s="121" t="s">
        <v>107</v>
      </c>
      <c r="F28" s="121" t="s">
        <v>197</v>
      </c>
      <c r="G28" s="121" t="s">
        <v>193</v>
      </c>
      <c r="H28" s="121" t="s">
        <v>194</v>
      </c>
      <c r="J28" s="121" t="s">
        <v>33</v>
      </c>
      <c r="K28" s="121" t="s">
        <v>199</v>
      </c>
      <c r="L28" s="121" t="s">
        <v>194</v>
      </c>
    </row>
    <row r="29" spans="1:12" x14ac:dyDescent="0.2">
      <c r="A29" s="4">
        <f>'Baseline Inputs'!C8</f>
        <v>2022</v>
      </c>
      <c r="B29" s="62">
        <f>MIN('NPV Cash Flow Anal'!L31,0)</f>
        <v>-32093.549151514228</v>
      </c>
      <c r="C29" s="62">
        <f>B29*$D$25/2</f>
        <v>-1283.7419660605694</v>
      </c>
      <c r="D29" s="62">
        <f t="shared" ref="D29:D53" si="2">B29-C29</f>
        <v>-30809.807185453657</v>
      </c>
      <c r="E29" s="92">
        <f>'Income Tax &amp; CCA Tax Shield'!I7</f>
        <v>0.26500000000000001</v>
      </c>
      <c r="F29" s="225">
        <f>C29*E29</f>
        <v>-340.19162100605092</v>
      </c>
      <c r="G29" s="122">
        <f>'NPV Cash Flow Anal'!I7</f>
        <v>1.02280255</v>
      </c>
      <c r="H29" s="225">
        <f>F29/G29</f>
        <v>-332.60732582848073</v>
      </c>
      <c r="J29" s="128">
        <f>'CCA &amp; Cap Tax'!BN16</f>
        <v>0</v>
      </c>
      <c r="K29" s="62">
        <f>B29*J29</f>
        <v>0</v>
      </c>
      <c r="L29" s="25">
        <f>K29/G29</f>
        <v>0</v>
      </c>
    </row>
    <row r="30" spans="1:12" x14ac:dyDescent="0.2">
      <c r="A30" s="4">
        <f>A29+1</f>
        <v>2023</v>
      </c>
      <c r="B30" s="62">
        <f>D29</f>
        <v>-30809.807185453657</v>
      </c>
      <c r="C30" s="62">
        <f>B30*$D$25</f>
        <v>-2464.7845748362929</v>
      </c>
      <c r="D30" s="62">
        <f t="shared" si="2"/>
        <v>-28345.022610617365</v>
      </c>
      <c r="E30" s="30">
        <f>'Income Tax &amp; CCA Tax Shield'!I8</f>
        <v>0.26500000000000001</v>
      </c>
      <c r="F30" s="225">
        <f t="shared" ref="F30:F53" si="3">C30*E30</f>
        <v>-653.16791233161769</v>
      </c>
      <c r="G30" s="122">
        <f>'NPV Cash Flow Anal'!I8</f>
        <v>1.0694475625730049</v>
      </c>
      <c r="H30" s="225">
        <f t="shared" ref="H30:H53" si="4">F30/G30</f>
        <v>-610.75263078831858</v>
      </c>
      <c r="J30" s="129">
        <f>'CCA &amp; Cap Tax'!BN17</f>
        <v>0</v>
      </c>
      <c r="K30" s="62">
        <f t="shared" ref="K30:K53" si="5">B30*J30</f>
        <v>0</v>
      </c>
      <c r="L30" s="25">
        <f t="shared" ref="L30:L53" si="6">K30/G30</f>
        <v>0</v>
      </c>
    </row>
    <row r="31" spans="1:12" x14ac:dyDescent="0.2">
      <c r="A31" s="4">
        <f t="shared" ref="A31:A53" si="7">A30+1</f>
        <v>2024</v>
      </c>
      <c r="B31" s="62">
        <f t="shared" ref="B31:B53" si="8">D30</f>
        <v>-28345.022610617365</v>
      </c>
      <c r="C31" s="62">
        <f t="shared" ref="C31:C53" si="9">B31*$D$25</f>
        <v>-2267.6018088493897</v>
      </c>
      <c r="D31" s="62">
        <f t="shared" si="2"/>
        <v>-26077.420801767974</v>
      </c>
      <c r="E31" s="30">
        <f>'Income Tax &amp; CCA Tax Shield'!I9</f>
        <v>0.26500000000000001</v>
      </c>
      <c r="F31" s="225">
        <f t="shared" si="3"/>
        <v>-600.91447934508835</v>
      </c>
      <c r="G31" s="122">
        <f>'NPV Cash Flow Anal'!I9</f>
        <v>1.1182198256089029</v>
      </c>
      <c r="H31" s="225">
        <f t="shared" si="4"/>
        <v>-537.38492699132132</v>
      </c>
      <c r="J31" s="129">
        <f>'CCA &amp; Cap Tax'!BN18</f>
        <v>0</v>
      </c>
      <c r="K31" s="62">
        <f t="shared" si="5"/>
        <v>0</v>
      </c>
      <c r="L31" s="25">
        <f t="shared" si="6"/>
        <v>0</v>
      </c>
    </row>
    <row r="32" spans="1:12" x14ac:dyDescent="0.2">
      <c r="A32" s="4">
        <f t="shared" si="7"/>
        <v>2025</v>
      </c>
      <c r="B32" s="62">
        <f t="shared" si="8"/>
        <v>-26077.420801767974</v>
      </c>
      <c r="C32" s="62">
        <f t="shared" si="9"/>
        <v>-2086.1936641414381</v>
      </c>
      <c r="D32" s="62">
        <f t="shared" si="2"/>
        <v>-23991.227137626534</v>
      </c>
      <c r="E32" s="30">
        <f>'Income Tax &amp; CCA Tax Shield'!I10</f>
        <v>0.26500000000000001</v>
      </c>
      <c r="F32" s="225">
        <f t="shared" si="3"/>
        <v>-552.84132099748115</v>
      </c>
      <c r="G32" s="122">
        <f>'NPV Cash Flow Anal'!I10</f>
        <v>1.1692163525777794</v>
      </c>
      <c r="H32" s="225">
        <f t="shared" si="4"/>
        <v>-472.83064402805178</v>
      </c>
      <c r="J32" s="129">
        <f>'CCA &amp; Cap Tax'!BN19</f>
        <v>0</v>
      </c>
      <c r="K32" s="62">
        <f t="shared" si="5"/>
        <v>0</v>
      </c>
      <c r="L32" s="25">
        <f t="shared" si="6"/>
        <v>0</v>
      </c>
    </row>
    <row r="33" spans="1:12" x14ac:dyDescent="0.2">
      <c r="A33" s="4">
        <f t="shared" si="7"/>
        <v>2026</v>
      </c>
      <c r="B33" s="62">
        <f t="shared" si="8"/>
        <v>-23991.227137626534</v>
      </c>
      <c r="C33" s="62">
        <f t="shared" si="9"/>
        <v>-1919.298171010123</v>
      </c>
      <c r="D33" s="62">
        <f t="shared" si="2"/>
        <v>-22071.928966616411</v>
      </c>
      <c r="E33" s="30">
        <f>'Income Tax &amp; CCA Tax Shield'!I11</f>
        <v>0.26500000000000001</v>
      </c>
      <c r="F33" s="225">
        <f t="shared" si="3"/>
        <v>-508.61401531768263</v>
      </c>
      <c r="G33" s="122">
        <f>'NPV Cash Flow Anal'!I11</f>
        <v>1.2225385812587244</v>
      </c>
      <c r="H33" s="225">
        <f t="shared" si="4"/>
        <v>-416.03105465515387</v>
      </c>
      <c r="J33" s="129">
        <f>'CCA &amp; Cap Tax'!BN20</f>
        <v>0</v>
      </c>
      <c r="K33" s="62">
        <f t="shared" si="5"/>
        <v>0</v>
      </c>
      <c r="L33" s="25">
        <f t="shared" si="6"/>
        <v>0</v>
      </c>
    </row>
    <row r="34" spans="1:12" x14ac:dyDescent="0.2">
      <c r="A34" s="4">
        <f t="shared" si="7"/>
        <v>2027</v>
      </c>
      <c r="B34" s="62">
        <f t="shared" si="8"/>
        <v>-22071.928966616411</v>
      </c>
      <c r="C34" s="62">
        <f t="shared" si="9"/>
        <v>-1765.7543173293132</v>
      </c>
      <c r="D34" s="62">
        <f t="shared" si="2"/>
        <v>-20306.174649287099</v>
      </c>
      <c r="E34" s="30">
        <f>'Income Tax &amp; CCA Tax Shield'!I12</f>
        <v>0.26500000000000001</v>
      </c>
      <c r="F34" s="225">
        <f t="shared" si="3"/>
        <v>-467.924894092268</v>
      </c>
      <c r="G34" s="122">
        <f>'NPV Cash Flow Anal'!I12</f>
        <v>1.2782925755108865</v>
      </c>
      <c r="H34" s="225">
        <f t="shared" si="4"/>
        <v>-366.05461304917276</v>
      </c>
      <c r="J34" s="129">
        <f>'CCA &amp; Cap Tax'!BN21</f>
        <v>0</v>
      </c>
      <c r="K34" s="62">
        <f t="shared" si="5"/>
        <v>0</v>
      </c>
      <c r="L34" s="25">
        <f t="shared" si="6"/>
        <v>0</v>
      </c>
    </row>
    <row r="35" spans="1:12" x14ac:dyDescent="0.2">
      <c r="A35" s="4">
        <f t="shared" si="7"/>
        <v>2028</v>
      </c>
      <c r="B35" s="62">
        <f t="shared" si="8"/>
        <v>-20306.174649287099</v>
      </c>
      <c r="C35" s="62">
        <f t="shared" si="9"/>
        <v>-1624.4939719429683</v>
      </c>
      <c r="D35" s="62">
        <f t="shared" si="2"/>
        <v>-18681.680677344131</v>
      </c>
      <c r="E35" s="30">
        <f>'Income Tax &amp; CCA Tax Shield'!I13</f>
        <v>0.26500000000000001</v>
      </c>
      <c r="F35" s="225">
        <f t="shared" si="3"/>
        <v>-430.4909025648866</v>
      </c>
      <c r="G35" s="122">
        <f>'NPV Cash Flow Anal'!I13</f>
        <v>1.3365892362463179</v>
      </c>
      <c r="H35" s="225">
        <f t="shared" si="4"/>
        <v>-322.0816769210852</v>
      </c>
      <c r="J35" s="129">
        <f>'CCA &amp; Cap Tax'!BN22</f>
        <v>0</v>
      </c>
      <c r="K35" s="62">
        <f t="shared" si="5"/>
        <v>0</v>
      </c>
      <c r="L35" s="25">
        <f t="shared" si="6"/>
        <v>0</v>
      </c>
    </row>
    <row r="36" spans="1:12" x14ac:dyDescent="0.2">
      <c r="A36" s="4">
        <f t="shared" si="7"/>
        <v>2029</v>
      </c>
      <c r="B36" s="62">
        <f t="shared" si="8"/>
        <v>-18681.680677344131</v>
      </c>
      <c r="C36" s="62">
        <f t="shared" si="9"/>
        <v>-1494.5344541875309</v>
      </c>
      <c r="D36" s="62">
        <f t="shared" si="2"/>
        <v>-17187.1462231566</v>
      </c>
      <c r="E36" s="30">
        <f>'Income Tax &amp; CCA Tax Shield'!I14</f>
        <v>0.26500000000000001</v>
      </c>
      <c r="F36" s="225">
        <f t="shared" si="3"/>
        <v>-396.05163035969571</v>
      </c>
      <c r="G36" s="122">
        <f>'NPV Cash Flow Anal'!I14</f>
        <v>1.3975445220242548</v>
      </c>
      <c r="H36" s="225">
        <f t="shared" si="4"/>
        <v>-283.39106491293745</v>
      </c>
      <c r="J36" s="129">
        <f>'CCA &amp; Cap Tax'!BN23</f>
        <v>0</v>
      </c>
      <c r="K36" s="62">
        <f t="shared" si="5"/>
        <v>0</v>
      </c>
      <c r="L36" s="25">
        <f t="shared" si="6"/>
        <v>0</v>
      </c>
    </row>
    <row r="37" spans="1:12" x14ac:dyDescent="0.2">
      <c r="A37" s="4">
        <f t="shared" si="7"/>
        <v>2030</v>
      </c>
      <c r="B37" s="62">
        <f t="shared" si="8"/>
        <v>-17187.1462231566</v>
      </c>
      <c r="C37" s="62">
        <f t="shared" si="9"/>
        <v>-1374.9716978525282</v>
      </c>
      <c r="D37" s="62">
        <f t="shared" si="2"/>
        <v>-15812.174525304072</v>
      </c>
      <c r="E37" s="30">
        <f>'Income Tax &amp; CCA Tax Shield'!I15</f>
        <v>0.26500000000000001</v>
      </c>
      <c r="F37" s="225">
        <f t="shared" si="3"/>
        <v>-364.36749993092002</v>
      </c>
      <c r="G37" s="122">
        <f>'NPV Cash Flow Anal'!I15</f>
        <v>1.4612796797056231</v>
      </c>
      <c r="H37" s="225">
        <f t="shared" si="4"/>
        <v>-249.34822881019079</v>
      </c>
      <c r="J37" s="129">
        <f>'CCA &amp; Cap Tax'!BN24</f>
        <v>0</v>
      </c>
      <c r="K37" s="62">
        <f t="shared" si="5"/>
        <v>0</v>
      </c>
      <c r="L37" s="25">
        <f t="shared" si="6"/>
        <v>0</v>
      </c>
    </row>
    <row r="38" spans="1:12" x14ac:dyDescent="0.2">
      <c r="A38" s="4">
        <f t="shared" si="7"/>
        <v>2031</v>
      </c>
      <c r="B38" s="62">
        <f t="shared" si="8"/>
        <v>-15812.174525304072</v>
      </c>
      <c r="C38" s="62">
        <f t="shared" si="9"/>
        <v>-1264.9739620243261</v>
      </c>
      <c r="D38" s="62">
        <f t="shared" si="2"/>
        <v>-14547.200563279746</v>
      </c>
      <c r="E38" s="30">
        <f>'Income Tax &amp; CCA Tax Shield'!I16</f>
        <v>0.26500000000000001</v>
      </c>
      <c r="F38" s="225">
        <f t="shared" si="3"/>
        <v>-335.21809993644644</v>
      </c>
      <c r="G38" s="122">
        <f>'NPV Cash Flow Anal'!I16</f>
        <v>1.5279214856265659</v>
      </c>
      <c r="H38" s="225">
        <f t="shared" si="4"/>
        <v>-219.39484658727807</v>
      </c>
      <c r="J38" s="129">
        <f>'CCA &amp; Cap Tax'!BN25</f>
        <v>0</v>
      </c>
      <c r="K38" s="62">
        <f t="shared" si="5"/>
        <v>0</v>
      </c>
      <c r="L38" s="25">
        <f t="shared" si="6"/>
        <v>0</v>
      </c>
    </row>
    <row r="39" spans="1:12" x14ac:dyDescent="0.2">
      <c r="A39" s="4">
        <f t="shared" si="7"/>
        <v>2032</v>
      </c>
      <c r="B39" s="62">
        <f t="shared" si="8"/>
        <v>-14547.200563279746</v>
      </c>
      <c r="C39" s="62">
        <f t="shared" si="9"/>
        <v>-1163.77604506238</v>
      </c>
      <c r="D39" s="62">
        <f t="shared" si="2"/>
        <v>-13383.424518217365</v>
      </c>
      <c r="E39" s="30">
        <f>'Income Tax &amp; CCA Tax Shield'!I17</f>
        <v>0.26500000000000001</v>
      </c>
      <c r="F39" s="225">
        <f t="shared" si="3"/>
        <v>-308.40065194153073</v>
      </c>
      <c r="G39" s="122">
        <f>'NPV Cash Flow Anal'!I17</f>
        <v>1.5976024977707139</v>
      </c>
      <c r="H39" s="225">
        <f t="shared" si="4"/>
        <v>-193.0396656063516</v>
      </c>
      <c r="J39" s="129">
        <f>'CCA &amp; Cap Tax'!BN26</f>
        <v>0</v>
      </c>
      <c r="K39" s="62">
        <f t="shared" si="5"/>
        <v>0</v>
      </c>
      <c r="L39" s="25">
        <f t="shared" si="6"/>
        <v>0</v>
      </c>
    </row>
    <row r="40" spans="1:12" x14ac:dyDescent="0.2">
      <c r="A40" s="4">
        <f t="shared" si="7"/>
        <v>2033</v>
      </c>
      <c r="B40" s="62">
        <f t="shared" si="8"/>
        <v>-13383.424518217365</v>
      </c>
      <c r="C40" s="62">
        <f t="shared" si="9"/>
        <v>-1070.6739614573894</v>
      </c>
      <c r="D40" s="62">
        <f t="shared" si="2"/>
        <v>-12312.750556759976</v>
      </c>
      <c r="E40" s="30">
        <f>'Income Tax &amp; CCA Tax Shield'!I18</f>
        <v>0.26500000000000001</v>
      </c>
      <c r="F40" s="225">
        <f t="shared" si="3"/>
        <v>-283.72859978620818</v>
      </c>
      <c r="G40" s="122">
        <f>'NPV Cash Flow Anal'!I18</f>
        <v>1.670461319441797</v>
      </c>
      <c r="H40" s="225">
        <f t="shared" si="4"/>
        <v>-169.85044579243487</v>
      </c>
      <c r="J40" s="129">
        <f>'CCA &amp; Cap Tax'!BN27</f>
        <v>0</v>
      </c>
      <c r="K40" s="62">
        <f t="shared" si="5"/>
        <v>0</v>
      </c>
      <c r="L40" s="25">
        <f t="shared" si="6"/>
        <v>0</v>
      </c>
    </row>
    <row r="41" spans="1:12" x14ac:dyDescent="0.2">
      <c r="A41" s="4">
        <f t="shared" si="7"/>
        <v>2034</v>
      </c>
      <c r="B41" s="62">
        <f t="shared" si="8"/>
        <v>-12312.750556759976</v>
      </c>
      <c r="C41" s="62">
        <f t="shared" si="9"/>
        <v>-985.02004454079827</v>
      </c>
      <c r="D41" s="62">
        <f t="shared" si="2"/>
        <v>-11327.730512219177</v>
      </c>
      <c r="E41" s="30">
        <f>'Income Tax &amp; CCA Tax Shield'!I19</f>
        <v>0.26500000000000001</v>
      </c>
      <c r="F41" s="225">
        <f t="shared" si="3"/>
        <v>-261.03031180331158</v>
      </c>
      <c r="G41" s="122">
        <f>'NPV Cash Flow Anal'!I19</f>
        <v>1.7466428749610721</v>
      </c>
      <c r="H41" s="225">
        <f t="shared" si="4"/>
        <v>-149.44687064843134</v>
      </c>
      <c r="J41" s="129">
        <f>'CCA &amp; Cap Tax'!BN28</f>
        <v>0</v>
      </c>
      <c r="K41" s="62">
        <f t="shared" si="5"/>
        <v>0</v>
      </c>
      <c r="L41" s="25">
        <f t="shared" si="6"/>
        <v>0</v>
      </c>
    </row>
    <row r="42" spans="1:12" x14ac:dyDescent="0.2">
      <c r="A42" s="4">
        <f t="shared" si="7"/>
        <v>2035</v>
      </c>
      <c r="B42" s="62">
        <f t="shared" si="8"/>
        <v>-11327.730512219177</v>
      </c>
      <c r="C42" s="62">
        <f t="shared" si="9"/>
        <v>-906.21844097753433</v>
      </c>
      <c r="D42" s="62">
        <f t="shared" si="2"/>
        <v>-10421.512071241643</v>
      </c>
      <c r="E42" s="30">
        <f>'Income Tax &amp; CCA Tax Shield'!I20</f>
        <v>0.26500000000000001</v>
      </c>
      <c r="F42" s="225">
        <f t="shared" si="3"/>
        <v>-240.14788685904662</v>
      </c>
      <c r="G42" s="122">
        <f>'NPV Cash Flow Anal'!I20</f>
        <v>1.8262986979379592</v>
      </c>
      <c r="H42" s="225">
        <f t="shared" si="4"/>
        <v>-131.49430984657289</v>
      </c>
      <c r="J42" s="129">
        <f>'CCA &amp; Cap Tax'!BN29</f>
        <v>0</v>
      </c>
      <c r="K42" s="62">
        <f t="shared" si="5"/>
        <v>0</v>
      </c>
      <c r="L42" s="25">
        <f t="shared" si="6"/>
        <v>0</v>
      </c>
    </row>
    <row r="43" spans="1:12" x14ac:dyDescent="0.2">
      <c r="A43" s="4">
        <f t="shared" si="7"/>
        <v>2036</v>
      </c>
      <c r="B43" s="62">
        <f t="shared" si="8"/>
        <v>-10421.512071241643</v>
      </c>
      <c r="C43" s="62">
        <f t="shared" si="9"/>
        <v>-833.7209656993316</v>
      </c>
      <c r="D43" s="62">
        <f t="shared" si="2"/>
        <v>-9587.7911055423119</v>
      </c>
      <c r="E43" s="30">
        <f>'Income Tax &amp; CCA Tax Shield'!I21</f>
        <v>0.26500000000000001</v>
      </c>
      <c r="F43" s="225">
        <f t="shared" si="3"/>
        <v>-220.93605591032289</v>
      </c>
      <c r="G43" s="122">
        <f>'NPV Cash Flow Anal'!I21</f>
        <v>1.9095872326872896</v>
      </c>
      <c r="H43" s="225">
        <f t="shared" si="4"/>
        <v>-115.6983310992334</v>
      </c>
      <c r="J43" s="129">
        <f>'CCA &amp; Cap Tax'!BN30</f>
        <v>0</v>
      </c>
      <c r="K43" s="62">
        <f t="shared" si="5"/>
        <v>0</v>
      </c>
      <c r="L43" s="25">
        <f t="shared" si="6"/>
        <v>0</v>
      </c>
    </row>
    <row r="44" spans="1:12" x14ac:dyDescent="0.2">
      <c r="A44" s="4">
        <f t="shared" si="7"/>
        <v>2037</v>
      </c>
      <c r="B44" s="62">
        <f t="shared" si="8"/>
        <v>-9587.7911055423119</v>
      </c>
      <c r="C44" s="62">
        <f t="shared" si="9"/>
        <v>-767.02328844338513</v>
      </c>
      <c r="D44" s="62">
        <f t="shared" si="2"/>
        <v>-8820.7678170989275</v>
      </c>
      <c r="E44" s="30">
        <f>'Income Tax &amp; CCA Tax Shield'!I22</f>
        <v>0.26500000000000001</v>
      </c>
      <c r="F44" s="225">
        <f t="shared" si="3"/>
        <v>-203.26117143749707</v>
      </c>
      <c r="G44" s="122">
        <f>'NPV Cash Flow Anal'!I22</f>
        <v>1.9966741493927167</v>
      </c>
      <c r="H44" s="225">
        <f t="shared" si="4"/>
        <v>-101.79987130064184</v>
      </c>
      <c r="J44" s="129">
        <f>'CCA &amp; Cap Tax'!BN31</f>
        <v>0</v>
      </c>
      <c r="K44" s="62">
        <f t="shared" si="5"/>
        <v>0</v>
      </c>
      <c r="L44" s="25">
        <f t="shared" si="6"/>
        <v>0</v>
      </c>
    </row>
    <row r="45" spans="1:12" x14ac:dyDescent="0.2">
      <c r="A45" s="4">
        <f t="shared" si="7"/>
        <v>2038</v>
      </c>
      <c r="B45" s="62">
        <f t="shared" si="8"/>
        <v>-8820.7678170989275</v>
      </c>
      <c r="C45" s="62">
        <f t="shared" si="9"/>
        <v>-705.66142536791438</v>
      </c>
      <c r="D45" s="62">
        <f t="shared" si="2"/>
        <v>-8115.106391731013</v>
      </c>
      <c r="E45" s="30">
        <f>'Income Tax &amp; CCA Tax Shield'!I23</f>
        <v>0.26500000000000001</v>
      </c>
      <c r="F45" s="225">
        <f t="shared" si="3"/>
        <v>-187.00027772249732</v>
      </c>
      <c r="G45" s="122">
        <f>'NPV Cash Flow Anal'!I23</f>
        <v>2.0877326736431865</v>
      </c>
      <c r="H45" s="225">
        <f t="shared" si="4"/>
        <v>-89.57098774345161</v>
      </c>
      <c r="J45" s="129">
        <f>'CCA &amp; Cap Tax'!BN32</f>
        <v>0</v>
      </c>
      <c r="K45" s="62">
        <f t="shared" si="5"/>
        <v>0</v>
      </c>
      <c r="L45" s="25">
        <f t="shared" si="6"/>
        <v>0</v>
      </c>
    </row>
    <row r="46" spans="1:12" x14ac:dyDescent="0.2">
      <c r="A46" s="4">
        <f t="shared" si="7"/>
        <v>2039</v>
      </c>
      <c r="B46" s="62">
        <f t="shared" si="8"/>
        <v>-8115.106391731013</v>
      </c>
      <c r="C46" s="62">
        <f t="shared" si="9"/>
        <v>-649.20851133848112</v>
      </c>
      <c r="D46" s="62">
        <f t="shared" si="2"/>
        <v>-7465.897880392532</v>
      </c>
      <c r="E46" s="30">
        <f>'Income Tax &amp; CCA Tax Shield'!I24</f>
        <v>0.26500000000000001</v>
      </c>
      <c r="F46" s="225">
        <f t="shared" si="3"/>
        <v>-172.04025550469751</v>
      </c>
      <c r="G46" s="122">
        <f>'NPV Cash Flow Anal'!I24</f>
        <v>2.1829439309979515</v>
      </c>
      <c r="H46" s="225">
        <f t="shared" si="4"/>
        <v>-78.811119727682538</v>
      </c>
      <c r="J46" s="129">
        <f>'CCA &amp; Cap Tax'!BN33</f>
        <v>0</v>
      </c>
      <c r="K46" s="62">
        <f t="shared" si="5"/>
        <v>0</v>
      </c>
      <c r="L46" s="25">
        <f t="shared" si="6"/>
        <v>0</v>
      </c>
    </row>
    <row r="47" spans="1:12" x14ac:dyDescent="0.2">
      <c r="A47" s="4">
        <f t="shared" si="7"/>
        <v>2040</v>
      </c>
      <c r="B47" s="62">
        <f t="shared" si="8"/>
        <v>-7465.897880392532</v>
      </c>
      <c r="C47" s="62">
        <f t="shared" si="9"/>
        <v>-597.27183043140269</v>
      </c>
      <c r="D47" s="62">
        <f t="shared" si="2"/>
        <v>-6868.626049961129</v>
      </c>
      <c r="E47" s="30">
        <f>'Income Tax &amp; CCA Tax Shield'!I25</f>
        <v>0.26500000000000001</v>
      </c>
      <c r="F47" s="225">
        <f t="shared" si="3"/>
        <v>-158.27703506432172</v>
      </c>
      <c r="G47" s="122">
        <f>'NPV Cash Flow Anal'!I25</f>
        <v>2.2824973072655061</v>
      </c>
      <c r="H47" s="225">
        <f t="shared" si="4"/>
        <v>-69.343799250279034</v>
      </c>
      <c r="J47" s="129">
        <f>'CCA &amp; Cap Tax'!BN34</f>
        <v>0</v>
      </c>
      <c r="K47" s="62">
        <f t="shared" si="5"/>
        <v>0</v>
      </c>
      <c r="L47" s="25">
        <f t="shared" si="6"/>
        <v>0</v>
      </c>
    </row>
    <row r="48" spans="1:12" x14ac:dyDescent="0.2">
      <c r="A48" s="4">
        <f t="shared" si="7"/>
        <v>2041</v>
      </c>
      <c r="B48" s="62">
        <f t="shared" si="8"/>
        <v>-6868.626049961129</v>
      </c>
      <c r="C48" s="62">
        <f t="shared" si="9"/>
        <v>-549.49008399689046</v>
      </c>
      <c r="D48" s="62">
        <f t="shared" si="2"/>
        <v>-6319.1359659642385</v>
      </c>
      <c r="E48" s="30">
        <f>'Income Tax &amp; CCA Tax Shield'!I26</f>
        <v>0.26500000000000001</v>
      </c>
      <c r="F48" s="225">
        <f t="shared" si="3"/>
        <v>-145.61487225917597</v>
      </c>
      <c r="G48" s="122">
        <f>'NPV Cash Flow Anal'!I26</f>
        <v>2.3865908252130801</v>
      </c>
      <c r="H48" s="225">
        <f t="shared" si="4"/>
        <v>-61.013756828707805</v>
      </c>
      <c r="J48" s="129">
        <f>'CCA &amp; Cap Tax'!BN35</f>
        <v>0</v>
      </c>
      <c r="K48" s="62">
        <f t="shared" si="5"/>
        <v>0</v>
      </c>
      <c r="L48" s="25">
        <f t="shared" si="6"/>
        <v>0</v>
      </c>
    </row>
    <row r="49" spans="1:12" x14ac:dyDescent="0.2">
      <c r="A49" s="4">
        <f t="shared" si="7"/>
        <v>2042</v>
      </c>
      <c r="B49" s="62">
        <f t="shared" si="8"/>
        <v>-6319.1359659642385</v>
      </c>
      <c r="C49" s="62">
        <f t="shared" si="9"/>
        <v>-505.53087727713915</v>
      </c>
      <c r="D49" s="62">
        <f t="shared" si="2"/>
        <v>-5813.6050886870989</v>
      </c>
      <c r="E49" s="30">
        <f>'Income Tax &amp; CCA Tax Shield'!I27</f>
        <v>0.26500000000000001</v>
      </c>
      <c r="F49" s="225">
        <f t="shared" si="3"/>
        <v>-133.96568247844189</v>
      </c>
      <c r="G49" s="122">
        <f>'NPV Cash Flow Anal'!I27</f>
        <v>2.4954315384560051</v>
      </c>
      <c r="H49" s="225">
        <f t="shared" si="4"/>
        <v>-53.68437499244331</v>
      </c>
      <c r="J49" s="129">
        <f>'CCA &amp; Cap Tax'!BN36</f>
        <v>0</v>
      </c>
      <c r="K49" s="62">
        <f t="shared" si="5"/>
        <v>0</v>
      </c>
      <c r="L49" s="25">
        <f t="shared" si="6"/>
        <v>0</v>
      </c>
    </row>
    <row r="50" spans="1:12" x14ac:dyDescent="0.2">
      <c r="A50" s="4">
        <f t="shared" si="7"/>
        <v>2043</v>
      </c>
      <c r="B50" s="62">
        <f t="shared" si="8"/>
        <v>-5813.6050886870989</v>
      </c>
      <c r="C50" s="62">
        <f t="shared" si="9"/>
        <v>-465.08840709496803</v>
      </c>
      <c r="D50" s="62">
        <f t="shared" si="2"/>
        <v>-5348.5166815921311</v>
      </c>
      <c r="E50" s="30">
        <f>'Income Tax &amp; CCA Tax Shield'!I28</f>
        <v>0.26500000000000001</v>
      </c>
      <c r="F50" s="225">
        <f t="shared" si="3"/>
        <v>-123.24842788016653</v>
      </c>
      <c r="G50" s="122">
        <f>'NPV Cash Flow Anal'!I28</f>
        <v>2.6092359433104448</v>
      </c>
      <c r="H50" s="225">
        <f t="shared" si="4"/>
        <v>-47.235447678141433</v>
      </c>
      <c r="J50" s="129">
        <f>'CCA &amp; Cap Tax'!BN37</f>
        <v>0</v>
      </c>
      <c r="K50" s="62">
        <f t="shared" si="5"/>
        <v>0</v>
      </c>
      <c r="L50" s="25">
        <f t="shared" si="6"/>
        <v>0</v>
      </c>
    </row>
    <row r="51" spans="1:12" x14ac:dyDescent="0.2">
      <c r="A51" s="4">
        <f t="shared" si="7"/>
        <v>2044</v>
      </c>
      <c r="B51" s="62">
        <f t="shared" si="8"/>
        <v>-5348.5166815921311</v>
      </c>
      <c r="C51" s="62">
        <f t="shared" si="9"/>
        <v>-427.8813345273706</v>
      </c>
      <c r="D51" s="62">
        <f t="shared" si="2"/>
        <v>-4920.6353470647609</v>
      </c>
      <c r="E51" s="30">
        <f>'Income Tax &amp; CCA Tax Shield'!I29</f>
        <v>0.26500000000000001</v>
      </c>
      <c r="F51" s="225">
        <f t="shared" si="3"/>
        <v>-113.38855364975322</v>
      </c>
      <c r="G51" s="122">
        <f>'NPV Cash Flow Anal'!I29</f>
        <v>2.7282304094287118</v>
      </c>
      <c r="H51" s="225">
        <f t="shared" si="4"/>
        <v>-41.561208781298149</v>
      </c>
      <c r="J51" s="129">
        <f>'CCA &amp; Cap Tax'!BN38</f>
        <v>0</v>
      </c>
      <c r="K51" s="62">
        <f t="shared" si="5"/>
        <v>0</v>
      </c>
      <c r="L51" s="25">
        <f t="shared" si="6"/>
        <v>0</v>
      </c>
    </row>
    <row r="52" spans="1:12" x14ac:dyDescent="0.2">
      <c r="A52" s="4">
        <f t="shared" si="7"/>
        <v>2045</v>
      </c>
      <c r="B52" s="62">
        <f t="shared" si="8"/>
        <v>-4920.6353470647609</v>
      </c>
      <c r="C52" s="62">
        <f t="shared" si="9"/>
        <v>-393.65082776518096</v>
      </c>
      <c r="D52" s="62">
        <f t="shared" si="2"/>
        <v>-4526.9845192995799</v>
      </c>
      <c r="E52" s="30">
        <f>'Income Tax &amp; CCA Tax Shield'!I30</f>
        <v>0.26500000000000001</v>
      </c>
      <c r="F52" s="225">
        <f t="shared" si="3"/>
        <v>-104.31746935777296</v>
      </c>
      <c r="G52" s="122">
        <f>'NPV Cash Flow Anal'!I30</f>
        <v>2.852651630073749</v>
      </c>
      <c r="H52" s="225">
        <f t="shared" si="4"/>
        <v>-36.568597531510029</v>
      </c>
      <c r="J52" s="129">
        <f>'CCA &amp; Cap Tax'!BN39</f>
        <v>0</v>
      </c>
      <c r="K52" s="62">
        <f t="shared" si="5"/>
        <v>0</v>
      </c>
      <c r="L52" s="25">
        <f t="shared" si="6"/>
        <v>0</v>
      </c>
    </row>
    <row r="53" spans="1:12" x14ac:dyDescent="0.2">
      <c r="A53" s="4">
        <f t="shared" si="7"/>
        <v>2046</v>
      </c>
      <c r="B53" s="62">
        <f t="shared" si="8"/>
        <v>-4526.9845192995799</v>
      </c>
      <c r="C53" s="62">
        <f t="shared" si="9"/>
        <v>-362.15876154396648</v>
      </c>
      <c r="D53" s="62">
        <f t="shared" si="2"/>
        <v>-4164.8257577556133</v>
      </c>
      <c r="E53" s="30">
        <f>'Income Tax &amp; CCA Tax Shield'!I31</f>
        <v>0.26500000000000001</v>
      </c>
      <c r="F53" s="225">
        <f t="shared" si="3"/>
        <v>-95.972071809151117</v>
      </c>
      <c r="G53" s="122">
        <f>'NPV Cash Flow Anal'!I31</f>
        <v>2.9827470929284252</v>
      </c>
      <c r="H53" s="225">
        <f t="shared" si="4"/>
        <v>-32.175732242496927</v>
      </c>
      <c r="J53" s="129">
        <f>'CCA &amp; Cap Tax'!BN40</f>
        <v>0</v>
      </c>
      <c r="K53" s="62">
        <f t="shared" si="5"/>
        <v>0</v>
      </c>
      <c r="L53" s="25">
        <f t="shared" si="6"/>
        <v>0</v>
      </c>
    </row>
    <row r="54" spans="1:12" x14ac:dyDescent="0.2">
      <c r="H54" s="226">
        <f>SUM(H29:H53)</f>
        <v>-5181.1715316416676</v>
      </c>
      <c r="K54" s="25"/>
      <c r="L54" s="227">
        <f>SUM(L29:L53)</f>
        <v>0</v>
      </c>
    </row>
    <row r="56" spans="1:12" x14ac:dyDescent="0.2">
      <c r="A56" t="s">
        <v>201</v>
      </c>
      <c r="C56" s="228">
        <f>-$B$29</f>
        <v>32093.549151514228</v>
      </c>
    </row>
    <row r="57" spans="1:12" x14ac:dyDescent="0.2">
      <c r="A57" t="s">
        <v>195</v>
      </c>
      <c r="C57" s="228">
        <f>-$H$54</f>
        <v>5181.1715316416676</v>
      </c>
      <c r="D57" s="61"/>
    </row>
    <row r="58" spans="1:12" x14ac:dyDescent="0.2">
      <c r="A58" t="s">
        <v>200</v>
      </c>
      <c r="C58" s="228">
        <f>L54</f>
        <v>0</v>
      </c>
    </row>
    <row r="59" spans="1:12" x14ac:dyDescent="0.2">
      <c r="A59" s="123" t="s">
        <v>196</v>
      </c>
      <c r="B59" s="124"/>
      <c r="C59" s="229">
        <f>SUM(C56:C58)</f>
        <v>37274.720683155894</v>
      </c>
    </row>
  </sheetData>
  <phoneticPr fontId="16" type="noConversion"/>
  <pageMargins left="0.75" right="0.75" top="1" bottom="1" header="0.5" footer="0.5"/>
  <pageSetup orientation="portrait"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130"/>
  <sheetViews>
    <sheetView zoomScaleNormal="100" workbookViewId="0">
      <selection activeCell="N19" sqref="N19"/>
    </sheetView>
  </sheetViews>
  <sheetFormatPr defaultRowHeight="12.75" x14ac:dyDescent="0.2"/>
  <cols>
    <col min="1" max="1" width="5.7109375" customWidth="1"/>
    <col min="2" max="6" width="15.7109375" customWidth="1"/>
    <col min="7" max="8" width="15.7109375" style="4" customWidth="1"/>
    <col min="9" max="9" width="3.7109375" style="4" customWidth="1"/>
    <col min="10" max="10" width="15.7109375" style="4" customWidth="1"/>
    <col min="11" max="16" width="15.7109375" customWidth="1"/>
  </cols>
  <sheetData>
    <row r="1" spans="2:16" ht="18.75" x14ac:dyDescent="0.3">
      <c r="B1" s="267" t="s">
        <v>310</v>
      </c>
    </row>
    <row r="3" spans="2:16" ht="15" x14ac:dyDescent="0.2">
      <c r="B3" s="319" t="s">
        <v>283</v>
      </c>
    </row>
    <row r="5" spans="2:16" x14ac:dyDescent="0.2">
      <c r="B5" s="11" t="s">
        <v>320</v>
      </c>
      <c r="C5" s="11" t="s">
        <v>325</v>
      </c>
      <c r="O5" s="328"/>
      <c r="P5" s="328"/>
    </row>
    <row r="6" spans="2:16" x14ac:dyDescent="0.2">
      <c r="B6" s="11"/>
      <c r="C6" s="11" t="s">
        <v>324</v>
      </c>
      <c r="O6" s="328"/>
      <c r="P6" s="328"/>
    </row>
    <row r="7" spans="2:16" x14ac:dyDescent="0.2">
      <c r="C7" s="11" t="s">
        <v>322</v>
      </c>
      <c r="K7" s="4"/>
      <c r="O7" s="328"/>
      <c r="P7" s="328"/>
    </row>
    <row r="8" spans="2:16" ht="13.5" thickBot="1" x14ac:dyDescent="0.25">
      <c r="K8" s="4"/>
      <c r="O8" s="328"/>
      <c r="P8" s="328"/>
    </row>
    <row r="9" spans="2:16" ht="13.5" thickBot="1" x14ac:dyDescent="0.25">
      <c r="C9" s="70"/>
      <c r="D9" s="165"/>
      <c r="E9" s="70"/>
      <c r="F9" s="70"/>
      <c r="J9" s="121" t="s">
        <v>276</v>
      </c>
      <c r="K9" s="182">
        <v>2017</v>
      </c>
      <c r="L9" s="4"/>
      <c r="O9" s="328"/>
      <c r="P9" s="328"/>
    </row>
    <row r="10" spans="2:16" x14ac:dyDescent="0.2">
      <c r="C10" s="70"/>
      <c r="D10" s="70"/>
      <c r="E10" s="70"/>
      <c r="F10" s="70"/>
      <c r="G10" s="166"/>
      <c r="H10" s="166"/>
      <c r="I10" s="166"/>
      <c r="K10" s="4"/>
      <c r="L10" s="4"/>
      <c r="O10" s="328"/>
      <c r="P10" s="328"/>
    </row>
    <row r="11" spans="2:16" x14ac:dyDescent="0.2">
      <c r="B11" s="253" t="s">
        <v>315</v>
      </c>
      <c r="C11" s="168" t="s">
        <v>271</v>
      </c>
      <c r="D11" s="168" t="s">
        <v>272</v>
      </c>
      <c r="E11" s="121" t="s">
        <v>29</v>
      </c>
      <c r="F11" s="121" t="s">
        <v>273</v>
      </c>
      <c r="J11" s="121" t="s">
        <v>52</v>
      </c>
      <c r="K11" s="121"/>
      <c r="L11" s="121" t="s">
        <v>273</v>
      </c>
      <c r="O11" s="328"/>
      <c r="P11" s="328"/>
    </row>
    <row r="12" spans="2:16" x14ac:dyDescent="0.2">
      <c r="B12" s="121" t="s">
        <v>8</v>
      </c>
      <c r="C12" s="121" t="s">
        <v>274</v>
      </c>
      <c r="D12" s="121" t="s">
        <v>274</v>
      </c>
      <c r="E12" s="121" t="s">
        <v>274</v>
      </c>
      <c r="F12" s="121" t="s">
        <v>274</v>
      </c>
      <c r="G12" s="121" t="s">
        <v>275</v>
      </c>
      <c r="H12" s="121" t="s">
        <v>307</v>
      </c>
      <c r="I12" s="121"/>
      <c r="J12" s="121" t="s">
        <v>279</v>
      </c>
      <c r="K12" s="121" t="s">
        <v>144</v>
      </c>
      <c r="L12" s="121" t="s">
        <v>308</v>
      </c>
      <c r="O12" s="328"/>
      <c r="P12" s="328"/>
    </row>
    <row r="13" spans="2:16" x14ac:dyDescent="0.2">
      <c r="B13" s="169">
        <f>B14+1</f>
        <v>2021</v>
      </c>
      <c r="C13" s="170">
        <f>+D14</f>
        <v>13372</v>
      </c>
      <c r="D13" s="181">
        <v>13628</v>
      </c>
      <c r="E13" s="327">
        <f>AVERAGE(C13:D13)</f>
        <v>13500</v>
      </c>
      <c r="F13" s="172">
        <f>(D13-C13)</f>
        <v>256</v>
      </c>
      <c r="G13" s="178">
        <v>104845989</v>
      </c>
      <c r="H13" s="251">
        <f>G13/G49</f>
        <v>0.73673314718439809</v>
      </c>
      <c r="I13" s="173"/>
      <c r="J13" s="174">
        <f>G13/E13/12</f>
        <v>647.19746296296296</v>
      </c>
      <c r="K13" s="174">
        <f>J13/360</f>
        <v>1.7977707304526749</v>
      </c>
      <c r="L13" s="174">
        <f>F13*K13</f>
        <v>460.22930699588477</v>
      </c>
      <c r="N13" t="s">
        <v>358</v>
      </c>
      <c r="O13" s="328"/>
      <c r="P13" s="328"/>
    </row>
    <row r="14" spans="2:16" x14ac:dyDescent="0.2">
      <c r="B14" s="169">
        <f>B15+1</f>
        <v>2020</v>
      </c>
      <c r="C14" s="170">
        <f>+D15</f>
        <v>13133</v>
      </c>
      <c r="D14" s="181">
        <v>13372</v>
      </c>
      <c r="E14" s="327">
        <f>AVERAGE(C14:D14)</f>
        <v>13252.5</v>
      </c>
      <c r="F14" s="172">
        <f>(D14-C14)</f>
        <v>239</v>
      </c>
      <c r="G14" s="178">
        <v>102567918</v>
      </c>
      <c r="H14" s="251">
        <f>G14/G50</f>
        <v>0.7396089965450322</v>
      </c>
      <c r="I14" s="173"/>
      <c r="J14" s="174">
        <f>G14/E14/12</f>
        <v>644.95955480098098</v>
      </c>
      <c r="K14" s="174">
        <f>J14/360</f>
        <v>1.7915543188916139</v>
      </c>
      <c r="L14" s="174">
        <f>F14*K14</f>
        <v>428.18148221509574</v>
      </c>
      <c r="O14" s="328"/>
      <c r="P14" s="328"/>
    </row>
    <row r="15" spans="2:16" x14ac:dyDescent="0.2">
      <c r="B15" s="169">
        <f>B16+1</f>
        <v>2019</v>
      </c>
      <c r="C15" s="170">
        <f>+D16</f>
        <v>12938</v>
      </c>
      <c r="D15" s="181">
        <v>13133</v>
      </c>
      <c r="E15" s="327">
        <f>AVERAGE(C15:D15)</f>
        <v>13035.5</v>
      </c>
      <c r="F15" s="172">
        <f>(D15-C15)</f>
        <v>195</v>
      </c>
      <c r="G15" s="178">
        <v>95047773</v>
      </c>
      <c r="H15" s="251">
        <f>G15/G51</f>
        <v>0.71574492361738351</v>
      </c>
      <c r="I15" s="173"/>
      <c r="J15" s="174">
        <f>G15/E15/12</f>
        <v>607.62132254228834</v>
      </c>
      <c r="K15" s="174">
        <f>J15/360</f>
        <v>1.687837007061912</v>
      </c>
      <c r="L15" s="174">
        <f>F15*K15</f>
        <v>329.12821637707282</v>
      </c>
      <c r="O15" s="328"/>
      <c r="P15" s="328"/>
    </row>
    <row r="16" spans="2:16" x14ac:dyDescent="0.2">
      <c r="B16" s="169">
        <f>B17+1</f>
        <v>2018</v>
      </c>
      <c r="C16" s="170">
        <f>+D17</f>
        <v>12738</v>
      </c>
      <c r="D16" s="181">
        <v>12938</v>
      </c>
      <c r="E16" s="327">
        <f>AVERAGE(C16:D16)</f>
        <v>12838</v>
      </c>
      <c r="F16" s="172">
        <f>(D16-C16)</f>
        <v>200</v>
      </c>
      <c r="G16" s="178">
        <v>95897147</v>
      </c>
      <c r="H16" s="251">
        <f>G16/G52</f>
        <v>0.71850869092086012</v>
      </c>
      <c r="I16" s="173"/>
      <c r="J16" s="174">
        <f>G16/E16/12</f>
        <v>622.4823895206938</v>
      </c>
      <c r="K16" s="174">
        <f>J16/360</f>
        <v>1.7291177486685938</v>
      </c>
      <c r="L16" s="174">
        <f>F16*K16</f>
        <v>345.82354973371878</v>
      </c>
    </row>
    <row r="17" spans="1:14" x14ac:dyDescent="0.2">
      <c r="B17" s="169">
        <f>K9</f>
        <v>2017</v>
      </c>
      <c r="C17" s="178">
        <v>12504</v>
      </c>
      <c r="D17" s="181">
        <v>12738</v>
      </c>
      <c r="E17" s="327">
        <f>AVERAGE(C17:D17)</f>
        <v>12621</v>
      </c>
      <c r="F17" s="172">
        <f>(D17-C17)</f>
        <v>234</v>
      </c>
      <c r="G17" s="178">
        <v>87878523</v>
      </c>
      <c r="H17" s="251">
        <f>G17/G53</f>
        <v>0.71059068228695443</v>
      </c>
      <c r="I17" s="173"/>
      <c r="J17" s="174">
        <f>G17/E17/12</f>
        <v>580.2400958719594</v>
      </c>
      <c r="K17" s="174">
        <f>J17/360</f>
        <v>1.6117780440887761</v>
      </c>
      <c r="L17" s="174">
        <f>F17*K17</f>
        <v>377.15606231677361</v>
      </c>
    </row>
    <row r="18" spans="1:14" x14ac:dyDescent="0.2">
      <c r="B18" s="4"/>
      <c r="C18" s="4"/>
      <c r="D18" s="4"/>
      <c r="E18" s="175"/>
      <c r="F18" s="175"/>
      <c r="H18" s="40"/>
      <c r="J18" s="179">
        <f>AVERAGE(J13:J17)</f>
        <v>620.5001651397771</v>
      </c>
      <c r="K18" s="176" t="s">
        <v>326</v>
      </c>
    </row>
    <row r="19" spans="1:14" x14ac:dyDescent="0.2">
      <c r="B19" s="70"/>
      <c r="C19" s="70"/>
      <c r="D19" s="70"/>
      <c r="E19" s="70"/>
      <c r="F19" s="70"/>
      <c r="H19" s="40"/>
      <c r="K19" s="4"/>
    </row>
    <row r="20" spans="1:14" x14ac:dyDescent="0.2">
      <c r="B20" s="254" t="s">
        <v>316</v>
      </c>
      <c r="C20" s="168" t="s">
        <v>271</v>
      </c>
      <c r="D20" s="168" t="s">
        <v>272</v>
      </c>
      <c r="E20" s="121" t="s">
        <v>29</v>
      </c>
      <c r="F20" s="121" t="s">
        <v>273</v>
      </c>
      <c r="H20" s="40"/>
      <c r="J20" s="121" t="s">
        <v>52</v>
      </c>
      <c r="K20" s="4"/>
      <c r="L20" s="121" t="s">
        <v>273</v>
      </c>
    </row>
    <row r="21" spans="1:14" x14ac:dyDescent="0.2">
      <c r="B21" s="121" t="s">
        <v>8</v>
      </c>
      <c r="C21" s="121" t="s">
        <v>274</v>
      </c>
      <c r="D21" s="121" t="s">
        <v>274</v>
      </c>
      <c r="E21" s="121" t="s">
        <v>274</v>
      </c>
      <c r="F21" s="121" t="s">
        <v>274</v>
      </c>
      <c r="G21" s="121" t="s">
        <v>275</v>
      </c>
      <c r="H21" s="250" t="s">
        <v>307</v>
      </c>
      <c r="I21" s="121"/>
      <c r="J21" s="121" t="s">
        <v>279</v>
      </c>
      <c r="K21" s="121" t="s">
        <v>144</v>
      </c>
      <c r="L21" s="121" t="s">
        <v>308</v>
      </c>
    </row>
    <row r="22" spans="1:14" x14ac:dyDescent="0.2">
      <c r="B22" s="169">
        <f>B23+1</f>
        <v>2021</v>
      </c>
      <c r="C22" s="170">
        <f>+D23</f>
        <v>833</v>
      </c>
      <c r="D22" s="181">
        <v>833</v>
      </c>
      <c r="E22" s="172">
        <f>AVERAGE(C22:D22)</f>
        <v>833</v>
      </c>
      <c r="F22" s="172">
        <f>(D22-C22)</f>
        <v>0</v>
      </c>
      <c r="G22" s="178">
        <v>17504591</v>
      </c>
      <c r="H22" s="251">
        <f>G22/G49</f>
        <v>0.12300148570877317</v>
      </c>
      <c r="I22" s="173"/>
      <c r="J22" s="174">
        <f>G22/E22/12</f>
        <v>1751.1595638255303</v>
      </c>
      <c r="K22" s="174">
        <f>J22/360</f>
        <v>4.8643321217375846</v>
      </c>
      <c r="L22" s="174">
        <f>F22*K22</f>
        <v>0</v>
      </c>
    </row>
    <row r="23" spans="1:14" x14ac:dyDescent="0.2">
      <c r="A23" s="79"/>
      <c r="B23" s="169">
        <f>B24+1</f>
        <v>2020</v>
      </c>
      <c r="C23" s="170">
        <f>+D24</f>
        <v>834</v>
      </c>
      <c r="D23" s="181">
        <v>833</v>
      </c>
      <c r="E23" s="172">
        <f>AVERAGE(C23:D23)</f>
        <v>833.5</v>
      </c>
      <c r="F23" s="172">
        <f>(D23-C23)</f>
        <v>-1</v>
      </c>
      <c r="G23" s="178">
        <v>16820699</v>
      </c>
      <c r="H23" s="251">
        <f>G23/G50</f>
        <v>0.12129270585931193</v>
      </c>
      <c r="I23" s="173"/>
      <c r="J23" s="174">
        <f>G23/E23/12</f>
        <v>1681.7335532893421</v>
      </c>
      <c r="K23" s="174">
        <f>J23/360</f>
        <v>4.671482092470395</v>
      </c>
      <c r="L23" s="174">
        <f>F23*K23</f>
        <v>-4.671482092470395</v>
      </c>
    </row>
    <row r="24" spans="1:14" x14ac:dyDescent="0.2">
      <c r="B24" s="169">
        <f>B25+1</f>
        <v>2019</v>
      </c>
      <c r="C24" s="170">
        <f>+D25</f>
        <v>819</v>
      </c>
      <c r="D24" s="181">
        <v>834</v>
      </c>
      <c r="E24" s="172">
        <f>AVERAGE(C24:D24)</f>
        <v>826.5</v>
      </c>
      <c r="F24" s="172">
        <f>(D24-C24)</f>
        <v>15</v>
      </c>
      <c r="G24" s="178">
        <v>17605723</v>
      </c>
      <c r="H24" s="251">
        <f>G24/G51</f>
        <v>0.13257761298482829</v>
      </c>
      <c r="I24" s="173"/>
      <c r="J24" s="174">
        <f>G24/E24/12</f>
        <v>1775.1283524904213</v>
      </c>
      <c r="K24" s="174">
        <f>J24/360</f>
        <v>4.9309120902511703</v>
      </c>
      <c r="L24" s="174">
        <f>F24*K24</f>
        <v>73.963681353767555</v>
      </c>
    </row>
    <row r="25" spans="1:14" x14ac:dyDescent="0.2">
      <c r="B25" s="169">
        <f>B26+1</f>
        <v>2018</v>
      </c>
      <c r="C25" s="170">
        <f>+D26</f>
        <v>819</v>
      </c>
      <c r="D25" s="181">
        <v>819</v>
      </c>
      <c r="E25" s="172">
        <f>AVERAGE(C25:D25)</f>
        <v>819</v>
      </c>
      <c r="F25" s="172">
        <f>(D25-C25)</f>
        <v>0</v>
      </c>
      <c r="G25" s="178">
        <v>17666223</v>
      </c>
      <c r="H25" s="251">
        <f>G25/G52</f>
        <v>0.13236405000918317</v>
      </c>
      <c r="I25" s="173"/>
      <c r="J25" s="174">
        <f>G25/E25/12</f>
        <v>1797.5399877899879</v>
      </c>
      <c r="K25" s="174">
        <f>J25/360</f>
        <v>4.9931666327499666</v>
      </c>
      <c r="L25" s="174">
        <f>F25*K25</f>
        <v>0</v>
      </c>
    </row>
    <row r="26" spans="1:14" x14ac:dyDescent="0.2">
      <c r="B26" s="169">
        <f>K9</f>
        <v>2017</v>
      </c>
      <c r="C26" s="178">
        <v>806</v>
      </c>
      <c r="D26" s="181">
        <v>819</v>
      </c>
      <c r="E26" s="172">
        <f>AVERAGE(C26:D26)</f>
        <v>812.5</v>
      </c>
      <c r="F26" s="172">
        <f>(D26-C26)</f>
        <v>13</v>
      </c>
      <c r="G26" s="178">
        <v>17031696</v>
      </c>
      <c r="H26" s="251">
        <f>G26/G53</f>
        <v>0.13771925230404694</v>
      </c>
      <c r="I26" s="173"/>
      <c r="J26" s="174">
        <f>G26/E26/12</f>
        <v>1746.8406153846154</v>
      </c>
      <c r="K26" s="174">
        <f>J26/360</f>
        <v>4.8523350427350431</v>
      </c>
      <c r="L26" s="174">
        <f>F26*K26</f>
        <v>63.080355555555563</v>
      </c>
    </row>
    <row r="27" spans="1:14" x14ac:dyDescent="0.2">
      <c r="B27" s="4"/>
      <c r="C27" s="4"/>
      <c r="D27" s="4"/>
      <c r="E27" s="175"/>
      <c r="F27" s="175"/>
      <c r="H27" s="40"/>
      <c r="J27" s="180">
        <f>AVERAGE(J22:J26)</f>
        <v>1750.4804145559792</v>
      </c>
      <c r="K27" s="176" t="s">
        <v>326</v>
      </c>
    </row>
    <row r="28" spans="1:14" x14ac:dyDescent="0.2">
      <c r="B28" s="70"/>
      <c r="C28" s="70"/>
      <c r="D28" s="70"/>
      <c r="E28" s="70"/>
      <c r="F28" s="70"/>
      <c r="H28" s="40"/>
      <c r="K28" s="4"/>
    </row>
    <row r="29" spans="1:14" x14ac:dyDescent="0.2">
      <c r="B29" s="254" t="s">
        <v>317</v>
      </c>
      <c r="C29" s="168" t="s">
        <v>271</v>
      </c>
      <c r="D29" s="168" t="s">
        <v>272</v>
      </c>
      <c r="E29" s="121" t="s">
        <v>29</v>
      </c>
      <c r="F29" s="121" t="s">
        <v>273</v>
      </c>
      <c r="H29" s="40"/>
      <c r="J29" s="121" t="s">
        <v>52</v>
      </c>
      <c r="K29" s="4"/>
      <c r="L29" s="121" t="s">
        <v>273</v>
      </c>
    </row>
    <row r="30" spans="1:14" x14ac:dyDescent="0.2">
      <c r="B30" s="121" t="s">
        <v>8</v>
      </c>
      <c r="C30" s="121" t="s">
        <v>274</v>
      </c>
      <c r="D30" s="121" t="s">
        <v>274</v>
      </c>
      <c r="E30" s="121" t="s">
        <v>274</v>
      </c>
      <c r="F30" s="121" t="s">
        <v>274</v>
      </c>
      <c r="G30" s="121" t="s">
        <v>275</v>
      </c>
      <c r="H30" s="250" t="s">
        <v>307</v>
      </c>
      <c r="I30" s="121"/>
      <c r="J30" s="121" t="s">
        <v>279</v>
      </c>
      <c r="K30" s="121" t="s">
        <v>144</v>
      </c>
      <c r="L30" s="121" t="s">
        <v>308</v>
      </c>
      <c r="N30" s="259"/>
    </row>
    <row r="31" spans="1:14" x14ac:dyDescent="0.2">
      <c r="B31" s="169">
        <f>B32+1</f>
        <v>2021</v>
      </c>
      <c r="C31" s="170">
        <f>+D32</f>
        <v>33</v>
      </c>
      <c r="D31" s="181">
        <v>34</v>
      </c>
      <c r="E31" s="172">
        <f>AVERAGE(C31:D31)</f>
        <v>33.5</v>
      </c>
      <c r="F31" s="172">
        <f>(D31-C31)</f>
        <v>1</v>
      </c>
      <c r="G31" s="178">
        <v>19806083.989999998</v>
      </c>
      <c r="H31" s="251">
        <f>G31/G49</f>
        <v>0.13917364632185614</v>
      </c>
      <c r="I31" s="173"/>
      <c r="J31" s="183">
        <f>G31/E31/12</f>
        <v>49268.865646766171</v>
      </c>
      <c r="K31" s="174">
        <f>J31/360</f>
        <v>136.85796012990602</v>
      </c>
      <c r="L31" s="174">
        <f>F31*K31</f>
        <v>136.85796012990602</v>
      </c>
      <c r="N31" t="s">
        <v>357</v>
      </c>
    </row>
    <row r="32" spans="1:14" x14ac:dyDescent="0.2">
      <c r="B32" s="169">
        <f>B33+1</f>
        <v>2020</v>
      </c>
      <c r="C32" s="170">
        <f>+D33</f>
        <v>36</v>
      </c>
      <c r="D32" s="181">
        <v>33</v>
      </c>
      <c r="E32" s="172">
        <f>AVERAGE(C32:D32)</f>
        <v>34.5</v>
      </c>
      <c r="F32" s="172">
        <f>(D32-C32)</f>
        <v>-3</v>
      </c>
      <c r="G32" s="178">
        <v>19136831</v>
      </c>
      <c r="H32" s="251">
        <f>G32/G50</f>
        <v>0.1379941471851058</v>
      </c>
      <c r="I32" s="173"/>
      <c r="J32" s="183">
        <f>G32/E32/12</f>
        <v>46224.229468599027</v>
      </c>
      <c r="K32" s="174">
        <f>J32/360</f>
        <v>128.40063741277507</v>
      </c>
      <c r="L32" s="174">
        <f>F32*K32</f>
        <v>-385.20191223832524</v>
      </c>
    </row>
    <row r="33" spans="2:12" x14ac:dyDescent="0.2">
      <c r="B33" s="169">
        <f>B34+1</f>
        <v>2019</v>
      </c>
      <c r="C33" s="170">
        <f>+D34</f>
        <v>34</v>
      </c>
      <c r="D33" s="181">
        <v>36</v>
      </c>
      <c r="E33" s="172">
        <f>AVERAGE(C33:D33)</f>
        <v>35</v>
      </c>
      <c r="F33" s="172">
        <f>(D33-C33)</f>
        <v>2</v>
      </c>
      <c r="G33" s="178">
        <v>19987952</v>
      </c>
      <c r="H33" s="251">
        <f>G33/G51</f>
        <v>0.15051667941244587</v>
      </c>
      <c r="I33" s="173"/>
      <c r="J33" s="183">
        <f>G33/E33/12</f>
        <v>47590.361904761907</v>
      </c>
      <c r="K33" s="174">
        <f>J33/360</f>
        <v>132.19544973544973</v>
      </c>
      <c r="L33" s="174">
        <f>F33*K33</f>
        <v>264.39089947089946</v>
      </c>
    </row>
    <row r="34" spans="2:12" x14ac:dyDescent="0.2">
      <c r="B34" s="169">
        <f>B35+1</f>
        <v>2018</v>
      </c>
      <c r="C34" s="170">
        <f>+D35</f>
        <v>35</v>
      </c>
      <c r="D34" s="181">
        <v>34</v>
      </c>
      <c r="E34" s="172">
        <f>AVERAGE(C34:D34)</f>
        <v>34.5</v>
      </c>
      <c r="F34" s="172">
        <f>(D34-C34)</f>
        <v>-1</v>
      </c>
      <c r="G34" s="178">
        <v>19749651</v>
      </c>
      <c r="H34" s="251">
        <f>G34/G52</f>
        <v>0.14797411946107067</v>
      </c>
      <c r="I34" s="173"/>
      <c r="J34" s="183">
        <f>G34/E34/12</f>
        <v>47704.471014492759</v>
      </c>
      <c r="K34" s="174">
        <f>J34/360</f>
        <v>132.51241948470212</v>
      </c>
      <c r="L34" s="174">
        <f>F34*K34</f>
        <v>-132.51241948470212</v>
      </c>
    </row>
    <row r="35" spans="2:12" x14ac:dyDescent="0.2">
      <c r="B35" s="169">
        <f>K9</f>
        <v>2017</v>
      </c>
      <c r="C35" s="178">
        <v>36</v>
      </c>
      <c r="D35" s="181">
        <v>35</v>
      </c>
      <c r="E35" s="172">
        <f>AVERAGE(C35:D35)</f>
        <v>35.5</v>
      </c>
      <c r="F35" s="172">
        <f>(D35-C35)</f>
        <v>-1</v>
      </c>
      <c r="G35" s="178">
        <v>18610741</v>
      </c>
      <c r="H35" s="251">
        <f>G35/G53</f>
        <v>0.15048749903381736</v>
      </c>
      <c r="I35" s="173"/>
      <c r="J35" s="183">
        <f>G35/E35/12</f>
        <v>43687.185446009389</v>
      </c>
      <c r="K35" s="174">
        <f>J35/360</f>
        <v>121.35329290558164</v>
      </c>
      <c r="L35" s="174">
        <f>F35*K35</f>
        <v>-121.35329290558164</v>
      </c>
    </row>
    <row r="36" spans="2:12" x14ac:dyDescent="0.2">
      <c r="B36" s="4"/>
      <c r="C36" s="4"/>
      <c r="D36" s="4"/>
      <c r="E36" s="175"/>
      <c r="F36" s="175"/>
      <c r="H36" s="40"/>
      <c r="J36" s="210">
        <f>AVERAGE(J31:J35)</f>
        <v>46895.022696125852</v>
      </c>
      <c r="K36" s="176" t="s">
        <v>326</v>
      </c>
    </row>
    <row r="37" spans="2:12" x14ac:dyDescent="0.2">
      <c r="B37" s="4"/>
      <c r="C37" s="4"/>
      <c r="D37" s="4"/>
      <c r="E37" s="70"/>
      <c r="F37" s="70"/>
      <c r="H37" s="40"/>
      <c r="J37" s="189"/>
      <c r="K37" s="188"/>
    </row>
    <row r="38" spans="2:12" x14ac:dyDescent="0.2">
      <c r="B38" s="254" t="s">
        <v>318</v>
      </c>
      <c r="C38" s="168" t="s">
        <v>271</v>
      </c>
      <c r="D38" s="168" t="s">
        <v>272</v>
      </c>
      <c r="E38" s="121" t="s">
        <v>29</v>
      </c>
      <c r="F38" s="121" t="s">
        <v>273</v>
      </c>
      <c r="H38" s="40"/>
      <c r="J38" s="121" t="s">
        <v>52</v>
      </c>
      <c r="K38" s="4"/>
      <c r="L38" s="121" t="s">
        <v>273</v>
      </c>
    </row>
    <row r="39" spans="2:12" x14ac:dyDescent="0.2">
      <c r="B39" s="121" t="s">
        <v>8</v>
      </c>
      <c r="C39" s="121" t="s">
        <v>274</v>
      </c>
      <c r="D39" s="121" t="s">
        <v>274</v>
      </c>
      <c r="E39" s="121" t="s">
        <v>274</v>
      </c>
      <c r="F39" s="121" t="s">
        <v>274</v>
      </c>
      <c r="G39" s="121" t="s">
        <v>275</v>
      </c>
      <c r="H39" s="250" t="s">
        <v>307</v>
      </c>
      <c r="I39" s="121"/>
      <c r="J39" s="121" t="s">
        <v>279</v>
      </c>
      <c r="K39" s="121" t="s">
        <v>144</v>
      </c>
      <c r="L39" s="121" t="s">
        <v>308</v>
      </c>
    </row>
    <row r="40" spans="2:12" x14ac:dyDescent="0.2">
      <c r="B40" s="169">
        <f>B41+1</f>
        <v>2021</v>
      </c>
      <c r="C40" s="170">
        <f>+D41</f>
        <v>35</v>
      </c>
      <c r="D40" s="181">
        <v>37</v>
      </c>
      <c r="E40" s="172">
        <f>AVERAGE(C40:D40)</f>
        <v>36</v>
      </c>
      <c r="F40" s="172">
        <f>(D40-C40)</f>
        <v>2</v>
      </c>
      <c r="G40" s="178">
        <v>155365</v>
      </c>
      <c r="H40" s="252">
        <f>G40/G49</f>
        <v>1.0917207849725564E-3</v>
      </c>
      <c r="I40" s="173"/>
      <c r="J40" s="183">
        <f>G40/E40/12</f>
        <v>359.6412037037037</v>
      </c>
      <c r="K40" s="174">
        <f>J40/360</f>
        <v>0.9990033436213992</v>
      </c>
      <c r="L40" s="174">
        <f>F40*K40</f>
        <v>1.9980066872427984</v>
      </c>
    </row>
    <row r="41" spans="2:12" x14ac:dyDescent="0.2">
      <c r="B41" s="169">
        <f>B42+1</f>
        <v>2020</v>
      </c>
      <c r="C41" s="170">
        <f>+D42</f>
        <v>35</v>
      </c>
      <c r="D41" s="181">
        <v>35</v>
      </c>
      <c r="E41" s="172">
        <f>AVERAGE(C41:D41)</f>
        <v>35</v>
      </c>
      <c r="F41" s="172">
        <f>(D41-C41)</f>
        <v>0</v>
      </c>
      <c r="G41" s="178">
        <v>153122</v>
      </c>
      <c r="H41" s="252">
        <f>G41/G50</f>
        <v>1.1041504105500943E-3</v>
      </c>
      <c r="I41" s="173"/>
      <c r="J41" s="183">
        <f>G41/E41/12</f>
        <v>364.5761904761905</v>
      </c>
      <c r="K41" s="174">
        <f>J41/360</f>
        <v>1.0127116402116403</v>
      </c>
      <c r="L41" s="174">
        <f>F41*K41</f>
        <v>0</v>
      </c>
    </row>
    <row r="42" spans="2:12" x14ac:dyDescent="0.2">
      <c r="B42" s="169">
        <f>B43+1</f>
        <v>2019</v>
      </c>
      <c r="C42" s="170">
        <f>+D43</f>
        <v>35</v>
      </c>
      <c r="D42" s="181">
        <v>35</v>
      </c>
      <c r="E42" s="172">
        <f>AVERAGE(C42:D42)</f>
        <v>35</v>
      </c>
      <c r="F42" s="172">
        <f>(D42-C42)</f>
        <v>0</v>
      </c>
      <c r="G42" s="178">
        <v>154147</v>
      </c>
      <c r="H42" s="252">
        <f>G42/G51</f>
        <v>1.1607839853422848E-3</v>
      </c>
      <c r="I42" s="173"/>
      <c r="J42" s="183">
        <f>G42/E42/12</f>
        <v>367.01666666666665</v>
      </c>
      <c r="K42" s="174">
        <f>J42/360</f>
        <v>1.0194907407407408</v>
      </c>
      <c r="L42" s="174">
        <f>F42*K42</f>
        <v>0</v>
      </c>
    </row>
    <row r="43" spans="2:12" x14ac:dyDescent="0.2">
      <c r="B43" s="169">
        <f>B44+1</f>
        <v>2018</v>
      </c>
      <c r="C43" s="170">
        <f>+D44</f>
        <v>34</v>
      </c>
      <c r="D43" s="181">
        <v>35</v>
      </c>
      <c r="E43" s="172">
        <f>AVERAGE(C43:D43)</f>
        <v>34.5</v>
      </c>
      <c r="F43" s="172">
        <f>(D43-C43)</f>
        <v>1</v>
      </c>
      <c r="G43" s="178">
        <v>153906</v>
      </c>
      <c r="H43" s="252">
        <f>G43/G52</f>
        <v>1.1531396088860276E-3</v>
      </c>
      <c r="I43" s="173"/>
      <c r="J43" s="183">
        <f>G43/E43/12</f>
        <v>371.75362318840581</v>
      </c>
      <c r="K43" s="174">
        <f>J43/360</f>
        <v>1.0326489533011272</v>
      </c>
      <c r="L43" s="174">
        <f>F43*K43</f>
        <v>1.0326489533011272</v>
      </c>
    </row>
    <row r="44" spans="2:12" x14ac:dyDescent="0.2">
      <c r="B44" s="169">
        <f>K9</f>
        <v>2017</v>
      </c>
      <c r="C44" s="178">
        <v>32</v>
      </c>
      <c r="D44" s="181">
        <v>34</v>
      </c>
      <c r="E44" s="172">
        <f>AVERAGE(C44:D44)</f>
        <v>33</v>
      </c>
      <c r="F44" s="172">
        <f>(D44-C44)</f>
        <v>2</v>
      </c>
      <c r="G44" s="178">
        <v>148721</v>
      </c>
      <c r="H44" s="252">
        <f>G44/G53</f>
        <v>1.2025663751813187E-3</v>
      </c>
      <c r="I44" s="173"/>
      <c r="J44" s="183">
        <f>G44/E44/12</f>
        <v>375.55808080808083</v>
      </c>
      <c r="K44" s="174">
        <f>J44/360</f>
        <v>1.0432168911335578</v>
      </c>
      <c r="L44" s="174">
        <f>F44*K44</f>
        <v>2.0864337822671155</v>
      </c>
    </row>
    <row r="45" spans="2:12" x14ac:dyDescent="0.2">
      <c r="B45" s="4"/>
      <c r="C45" s="4"/>
      <c r="D45" s="4"/>
      <c r="E45" s="175"/>
      <c r="F45" s="175"/>
      <c r="G45" s="4" t="s">
        <v>339</v>
      </c>
      <c r="H45" s="40"/>
      <c r="J45" s="210">
        <f>AVERAGE(J40:J44)</f>
        <v>367.70915296860949</v>
      </c>
      <c r="K45" s="176" t="s">
        <v>326</v>
      </c>
    </row>
    <row r="46" spans="2:12" x14ac:dyDescent="0.2">
      <c r="B46" s="4"/>
      <c r="C46" s="4"/>
      <c r="D46" s="4"/>
      <c r="E46" s="70"/>
      <c r="F46" s="70"/>
      <c r="H46" s="40"/>
      <c r="J46" s="189"/>
      <c r="K46" s="188"/>
    </row>
    <row r="47" spans="2:12" x14ac:dyDescent="0.2">
      <c r="B47" s="254" t="s">
        <v>35</v>
      </c>
      <c r="C47" s="168" t="s">
        <v>271</v>
      </c>
      <c r="D47" s="168" t="s">
        <v>272</v>
      </c>
      <c r="E47" s="121" t="s">
        <v>29</v>
      </c>
      <c r="F47" s="121" t="s">
        <v>273</v>
      </c>
      <c r="H47" s="40"/>
      <c r="J47" s="121" t="s">
        <v>52</v>
      </c>
      <c r="K47" s="4"/>
      <c r="L47" s="121" t="s">
        <v>273</v>
      </c>
    </row>
    <row r="48" spans="2:12" x14ac:dyDescent="0.2">
      <c r="B48" s="121" t="s">
        <v>8</v>
      </c>
      <c r="C48" s="121" t="s">
        <v>274</v>
      </c>
      <c r="D48" s="121" t="s">
        <v>274</v>
      </c>
      <c r="E48" s="121" t="s">
        <v>274</v>
      </c>
      <c r="F48" s="121" t="s">
        <v>274</v>
      </c>
      <c r="G48" s="121" t="s">
        <v>275</v>
      </c>
      <c r="H48" s="250" t="s">
        <v>307</v>
      </c>
      <c r="I48" s="121"/>
      <c r="J48" s="121" t="s">
        <v>279</v>
      </c>
      <c r="K48" s="121"/>
      <c r="L48" s="121" t="s">
        <v>308</v>
      </c>
    </row>
    <row r="49" spans="2:13" x14ac:dyDescent="0.2">
      <c r="B49" s="169">
        <f>B50+1</f>
        <v>2021</v>
      </c>
      <c r="C49" s="170">
        <f t="shared" ref="C49:C53" si="0">C13+C22+C31+C40</f>
        <v>14273</v>
      </c>
      <c r="D49" s="171">
        <f>D13+D22+D31+D40</f>
        <v>14532</v>
      </c>
      <c r="E49" s="172">
        <f>AVERAGE(C49:D49)</f>
        <v>14402.5</v>
      </c>
      <c r="F49" s="172">
        <f>(D49-C49)</f>
        <v>259</v>
      </c>
      <c r="G49" s="170">
        <f t="shared" ref="G49:H53" si="1">G13+G22+G31+G40</f>
        <v>142312028.99000001</v>
      </c>
      <c r="H49" s="251">
        <f t="shared" si="1"/>
        <v>0.99999999999999989</v>
      </c>
      <c r="I49" s="173"/>
      <c r="J49" s="183">
        <f>G49/E49/12</f>
        <v>823.42202736793388</v>
      </c>
      <c r="K49" s="174"/>
      <c r="L49" s="174">
        <f>L13+L22+L31+L40</f>
        <v>599.0852738130335</v>
      </c>
    </row>
    <row r="50" spans="2:13" x14ac:dyDescent="0.2">
      <c r="B50" s="169">
        <f>B51+1</f>
        <v>2020</v>
      </c>
      <c r="C50" s="170">
        <f t="shared" si="0"/>
        <v>14038</v>
      </c>
      <c r="D50" s="170">
        <f>D14+D23+D32+D41</f>
        <v>14273</v>
      </c>
      <c r="E50" s="172">
        <f>AVERAGE(C50:D50)</f>
        <v>14155.5</v>
      </c>
      <c r="F50" s="172">
        <f>(D50-C50)</f>
        <v>235</v>
      </c>
      <c r="G50" s="170">
        <f t="shared" si="1"/>
        <v>138678570</v>
      </c>
      <c r="H50" s="251">
        <f t="shared" si="1"/>
        <v>1</v>
      </c>
      <c r="I50" s="173"/>
      <c r="J50" s="183">
        <f>G50/E50/12</f>
        <v>816.39980926141789</v>
      </c>
      <c r="K50" s="174"/>
      <c r="L50" s="174">
        <f>L14+L23+L32+L41</f>
        <v>38.308087884300107</v>
      </c>
    </row>
    <row r="51" spans="2:13" x14ac:dyDescent="0.2">
      <c r="B51" s="169">
        <f>B52+1</f>
        <v>2019</v>
      </c>
      <c r="C51" s="170">
        <f t="shared" si="0"/>
        <v>13826</v>
      </c>
      <c r="D51" s="170">
        <f>D15+D24+D33+D42</f>
        <v>14038</v>
      </c>
      <c r="E51" s="172">
        <f>AVERAGE(C51:D51)</f>
        <v>13932</v>
      </c>
      <c r="F51" s="172">
        <f>(D51-C51)</f>
        <v>212</v>
      </c>
      <c r="G51" s="170">
        <f t="shared" si="1"/>
        <v>132795595</v>
      </c>
      <c r="H51" s="251">
        <f t="shared" si="1"/>
        <v>0.99999999999999989</v>
      </c>
      <c r="I51" s="173"/>
      <c r="J51" s="183">
        <f>G51/E51/12</f>
        <v>794.30803785051194</v>
      </c>
      <c r="K51" s="174"/>
      <c r="L51" s="174">
        <f>L15+L24+L33+L42</f>
        <v>667.48279720173991</v>
      </c>
    </row>
    <row r="52" spans="2:13" x14ac:dyDescent="0.2">
      <c r="B52" s="169">
        <f>B53+1</f>
        <v>2018</v>
      </c>
      <c r="C52" s="170">
        <f t="shared" si="0"/>
        <v>13626</v>
      </c>
      <c r="D52" s="170">
        <f>D16+D25+D34+D43</f>
        <v>13826</v>
      </c>
      <c r="E52" s="172">
        <f>AVERAGE(C52:D52)</f>
        <v>13726</v>
      </c>
      <c r="F52" s="172">
        <f>(D52-C52)</f>
        <v>200</v>
      </c>
      <c r="G52" s="170">
        <f t="shared" si="1"/>
        <v>133466927</v>
      </c>
      <c r="H52" s="251">
        <f t="shared" si="1"/>
        <v>1</v>
      </c>
      <c r="I52" s="173"/>
      <c r="J52" s="183">
        <f>G52/E52/12</f>
        <v>810.30481689251553</v>
      </c>
      <c r="K52" s="174"/>
      <c r="L52" s="174">
        <f>L16+L25+L34+L43</f>
        <v>214.34377920231779</v>
      </c>
    </row>
    <row r="53" spans="2:13" x14ac:dyDescent="0.2">
      <c r="B53" s="169">
        <f>K9</f>
        <v>2017</v>
      </c>
      <c r="C53" s="170">
        <f t="shared" si="0"/>
        <v>13378</v>
      </c>
      <c r="D53" s="170">
        <f>D17+D26+D35+D44</f>
        <v>13626</v>
      </c>
      <c r="E53" s="172">
        <f>AVERAGE(C53:D53)</f>
        <v>13502</v>
      </c>
      <c r="F53" s="172">
        <f>(D53-C53)</f>
        <v>248</v>
      </c>
      <c r="G53" s="170">
        <f t="shared" si="1"/>
        <v>123669681</v>
      </c>
      <c r="H53" s="251">
        <f t="shared" si="1"/>
        <v>1</v>
      </c>
      <c r="I53" s="173"/>
      <c r="J53" s="183">
        <f>G53/E53/12</f>
        <v>763.28001407198929</v>
      </c>
      <c r="K53" s="174"/>
      <c r="L53" s="174">
        <f>L17+L26+L35+L44</f>
        <v>320.96955874901471</v>
      </c>
    </row>
    <row r="54" spans="2:13" x14ac:dyDescent="0.2">
      <c r="B54" s="4"/>
      <c r="C54" s="4"/>
      <c r="D54" s="4"/>
      <c r="E54" s="175"/>
      <c r="F54" s="175"/>
      <c r="J54" s="210">
        <f>AVERAGE(J49:J53)</f>
        <v>801.5429410888737</v>
      </c>
      <c r="K54" s="176" t="s">
        <v>326</v>
      </c>
    </row>
    <row r="55" spans="2:13" x14ac:dyDescent="0.2">
      <c r="B55" s="4"/>
      <c r="C55" s="4"/>
      <c r="D55" s="4"/>
      <c r="E55" s="70"/>
      <c r="F55" s="70"/>
      <c r="J55" s="189"/>
      <c r="K55" s="188"/>
    </row>
    <row r="56" spans="2:13" x14ac:dyDescent="0.2">
      <c r="B56" s="4"/>
      <c r="C56" s="4"/>
      <c r="D56" s="4"/>
      <c r="E56" s="70"/>
      <c r="F56" s="70"/>
      <c r="J56" s="189"/>
      <c r="K56" s="188"/>
    </row>
    <row r="57" spans="2:13" x14ac:dyDescent="0.2">
      <c r="B57" s="4"/>
      <c r="C57" s="4"/>
      <c r="D57" s="4"/>
      <c r="E57" s="70"/>
      <c r="F57" s="70"/>
      <c r="J57" s="189"/>
      <c r="K57" s="188"/>
    </row>
    <row r="58" spans="2:13" x14ac:dyDescent="0.2">
      <c r="B58" s="4"/>
      <c r="C58" s="4"/>
      <c r="D58" s="4"/>
      <c r="E58" s="70"/>
      <c r="F58" s="70"/>
      <c r="J58" s="189"/>
      <c r="K58" s="188"/>
    </row>
    <row r="59" spans="2:13" x14ac:dyDescent="0.2">
      <c r="C59" s="4"/>
      <c r="D59" s="4"/>
      <c r="E59" s="70"/>
      <c r="F59" s="70"/>
      <c r="I59" s="189"/>
      <c r="J59" s="188"/>
      <c r="L59" s="23"/>
      <c r="M59" s="186"/>
    </row>
    <row r="60" spans="2:13" ht="15" x14ac:dyDescent="0.2">
      <c r="B60" s="319" t="s">
        <v>277</v>
      </c>
      <c r="C60" s="4"/>
      <c r="D60" s="4"/>
      <c r="E60" s="70"/>
      <c r="F60" s="70"/>
      <c r="I60" s="189"/>
      <c r="J60" s="188"/>
      <c r="L60" s="23"/>
      <c r="M60" s="186"/>
    </row>
    <row r="61" spans="2:13" x14ac:dyDescent="0.2">
      <c r="B61" s="12"/>
      <c r="C61" s="4"/>
      <c r="D61" s="4"/>
      <c r="E61" s="70"/>
      <c r="F61" s="70"/>
      <c r="I61" s="189"/>
      <c r="J61" s="188"/>
      <c r="L61" s="23"/>
      <c r="M61" s="186"/>
    </row>
    <row r="62" spans="2:13" x14ac:dyDescent="0.2">
      <c r="B62" s="11" t="s">
        <v>320</v>
      </c>
      <c r="C62" s="11" t="s">
        <v>321</v>
      </c>
      <c r="D62" s="4"/>
      <c r="E62" s="70"/>
      <c r="F62" s="70"/>
      <c r="I62" s="189"/>
      <c r="J62" s="188"/>
      <c r="L62" s="23"/>
      <c r="M62" s="186"/>
    </row>
    <row r="63" spans="2:13" x14ac:dyDescent="0.2">
      <c r="C63" s="11" t="s">
        <v>323</v>
      </c>
      <c r="D63" s="4"/>
      <c r="E63" s="70"/>
      <c r="F63" s="70"/>
      <c r="I63" s="189"/>
      <c r="J63" s="188"/>
      <c r="L63" s="23"/>
      <c r="M63" s="186"/>
    </row>
    <row r="64" spans="2:13" x14ac:dyDescent="0.2">
      <c r="C64" s="11" t="s">
        <v>322</v>
      </c>
      <c r="D64" s="4"/>
      <c r="E64" s="70"/>
      <c r="F64" s="70"/>
      <c r="I64" s="189"/>
      <c r="J64" s="188"/>
      <c r="L64" s="23"/>
      <c r="M64" s="186"/>
    </row>
    <row r="65" spans="2:17" ht="13.5" thickBot="1" x14ac:dyDescent="0.25">
      <c r="B65" s="4"/>
      <c r="C65" s="4"/>
      <c r="D65" s="4"/>
      <c r="E65" s="70"/>
      <c r="F65" s="70"/>
      <c r="I65" s="189"/>
      <c r="J65" s="316"/>
      <c r="K65" s="308"/>
      <c r="L65" s="317"/>
      <c r="M65" s="318"/>
      <c r="N65" s="308"/>
      <c r="O65" s="308"/>
      <c r="P65" s="308"/>
    </row>
    <row r="66" spans="2:17" x14ac:dyDescent="0.2">
      <c r="F66" s="70"/>
      <c r="I66" s="189"/>
      <c r="J66" s="312" t="s">
        <v>338</v>
      </c>
      <c r="K66" s="287"/>
      <c r="L66" s="288"/>
      <c r="M66" s="289"/>
      <c r="N66" s="314"/>
      <c r="O66" s="314"/>
      <c r="P66" s="315"/>
      <c r="Q66" s="280"/>
    </row>
    <row r="67" spans="2:17" x14ac:dyDescent="0.2">
      <c r="B67" s="167"/>
      <c r="F67" s="70"/>
      <c r="I67" s="189"/>
      <c r="J67" s="313" t="s">
        <v>319</v>
      </c>
      <c r="P67" s="291"/>
    </row>
    <row r="68" spans="2:17" x14ac:dyDescent="0.2">
      <c r="B68" s="254" t="str">
        <f>B11</f>
        <v>Residential</v>
      </c>
      <c r="C68" s="121" t="s">
        <v>311</v>
      </c>
      <c r="E68" s="121" t="s">
        <v>68</v>
      </c>
      <c r="F68" s="121" t="s">
        <v>309</v>
      </c>
      <c r="G68" s="121" t="s">
        <v>45</v>
      </c>
      <c r="H68"/>
      <c r="I68" s="70"/>
      <c r="J68" s="292" t="s">
        <v>315</v>
      </c>
      <c r="K68" s="281" t="s">
        <v>311</v>
      </c>
      <c r="L68" s="293"/>
      <c r="M68" s="281" t="s">
        <v>68</v>
      </c>
      <c r="N68" s="281" t="s">
        <v>309</v>
      </c>
      <c r="O68" s="281" t="s">
        <v>45</v>
      </c>
      <c r="P68" s="294"/>
    </row>
    <row r="69" spans="2:17" x14ac:dyDescent="0.2">
      <c r="B69" s="121" t="s">
        <v>8</v>
      </c>
      <c r="C69" s="121" t="s">
        <v>278</v>
      </c>
      <c r="D69" s="121" t="s">
        <v>307</v>
      </c>
      <c r="E69" s="121" t="s">
        <v>217</v>
      </c>
      <c r="F69" s="121" t="s">
        <v>278</v>
      </c>
      <c r="G69" s="121" t="s">
        <v>227</v>
      </c>
      <c r="H69"/>
      <c r="I69" s="70"/>
      <c r="J69" s="295" t="s">
        <v>8</v>
      </c>
      <c r="K69" s="281" t="s">
        <v>278</v>
      </c>
      <c r="L69" s="281" t="s">
        <v>307</v>
      </c>
      <c r="M69" s="281" t="s">
        <v>217</v>
      </c>
      <c r="N69" s="281" t="s">
        <v>278</v>
      </c>
      <c r="O69" s="281" t="s">
        <v>227</v>
      </c>
      <c r="P69" s="294"/>
    </row>
    <row r="70" spans="2:17" x14ac:dyDescent="0.2">
      <c r="B70" s="255">
        <f>B71+1</f>
        <v>2021</v>
      </c>
      <c r="C70" s="258">
        <v>3903499.88</v>
      </c>
      <c r="D70" s="251">
        <f>C70/C106</f>
        <v>0.84187971137770212</v>
      </c>
      <c r="E70" s="187">
        <v>3904283.15</v>
      </c>
      <c r="F70" s="257">
        <f>E70*D70</f>
        <v>3286936.7714588256</v>
      </c>
      <c r="G70" s="184">
        <f>F70/E13</f>
        <v>243.47679788583892</v>
      </c>
      <c r="H70" s="174"/>
      <c r="I70" s="70"/>
      <c r="J70" s="296">
        <f>J71+1</f>
        <v>4</v>
      </c>
      <c r="K70" s="282">
        <v>2846000</v>
      </c>
      <c r="L70" s="283">
        <f>K70/K106</f>
        <v>0.82760225075243177</v>
      </c>
      <c r="M70" s="284">
        <v>3873589.6700000004</v>
      </c>
      <c r="N70" s="284">
        <f>M70*L70</f>
        <v>3205791.5293833697</v>
      </c>
      <c r="O70" s="285">
        <f>N70/11700</f>
        <v>273.99927601567265</v>
      </c>
      <c r="P70" s="297"/>
    </row>
    <row r="71" spans="2:17" x14ac:dyDescent="0.2">
      <c r="B71" s="255">
        <f>B72+1</f>
        <v>2020</v>
      </c>
      <c r="C71" s="258">
        <v>3760694.94</v>
      </c>
      <c r="D71" s="251">
        <f>C71/C107</f>
        <v>0.84227231935006597</v>
      </c>
      <c r="E71" s="187">
        <v>4275508</v>
      </c>
      <c r="F71" s="257">
        <f>E71*D71</f>
        <v>3601142.039559762</v>
      </c>
      <c r="G71" s="184">
        <f>F71/E14</f>
        <v>271.7330344885691</v>
      </c>
      <c r="H71" s="174"/>
      <c r="I71" s="70"/>
      <c r="J71" s="296">
        <f>J72+1</f>
        <v>3</v>
      </c>
      <c r="K71" s="282">
        <v>2954000</v>
      </c>
      <c r="L71" s="283">
        <f>K71/K107</f>
        <v>0.82277247026710865</v>
      </c>
      <c r="M71" s="284">
        <v>3083912.19</v>
      </c>
      <c r="N71" s="284">
        <f>M71*L71</f>
        <v>2537358.0506531489</v>
      </c>
      <c r="O71" s="285">
        <f>N71/11500</f>
        <v>220.63983049157815</v>
      </c>
      <c r="P71" s="297"/>
    </row>
    <row r="72" spans="2:17" x14ac:dyDescent="0.2">
      <c r="B72" s="255">
        <f>B73+1</f>
        <v>2019</v>
      </c>
      <c r="C72" s="258">
        <v>3545330</v>
      </c>
      <c r="D72" s="251">
        <f>C72/C108</f>
        <v>0.83672278756394025</v>
      </c>
      <c r="E72" s="187">
        <v>3980465</v>
      </c>
      <c r="F72" s="257">
        <f>E72*D72</f>
        <v>3330545.7706006994</v>
      </c>
      <c r="G72" s="184">
        <f>F72/E15</f>
        <v>255.49812209740318</v>
      </c>
      <c r="H72" s="174"/>
      <c r="I72" s="70"/>
      <c r="J72" s="296">
        <f>J73+1</f>
        <v>2</v>
      </c>
      <c r="K72" s="282">
        <v>2785000</v>
      </c>
      <c r="L72" s="283">
        <f>K72/K108</f>
        <v>0.81856391264732686</v>
      </c>
      <c r="M72" s="284">
        <v>3043873.27</v>
      </c>
      <c r="N72" s="284">
        <f>M72*L72</f>
        <v>2491604.8134938134</v>
      </c>
      <c r="O72" s="285">
        <f>N72/11225</f>
        <v>221.96924841815709</v>
      </c>
      <c r="P72" s="297"/>
    </row>
    <row r="73" spans="2:17" x14ac:dyDescent="0.2">
      <c r="B73" s="255">
        <f>B74+1</f>
        <v>2018</v>
      </c>
      <c r="C73" s="258">
        <v>3387773</v>
      </c>
      <c r="D73" s="251">
        <f>C73/C109</f>
        <v>0.83577561621612018</v>
      </c>
      <c r="E73" s="187">
        <v>3860463</v>
      </c>
      <c r="F73" s="257">
        <f>E73*D73</f>
        <v>3226480.8427045317</v>
      </c>
      <c r="G73" s="184">
        <f>F73/E16</f>
        <v>251.32270156601743</v>
      </c>
      <c r="H73" s="174"/>
      <c r="I73" s="70"/>
      <c r="J73" s="296">
        <f>J74+1</f>
        <v>1</v>
      </c>
      <c r="K73" s="282">
        <v>2753000</v>
      </c>
      <c r="L73" s="283">
        <f>K73/K109</f>
        <v>0.81545000814561397</v>
      </c>
      <c r="M73" s="284">
        <v>2970968.94</v>
      </c>
      <c r="N73" s="284">
        <f>M73*L73</f>
        <v>2422676.6463233661</v>
      </c>
      <c r="O73" s="285">
        <f>N73/11000</f>
        <v>220.24333148394237</v>
      </c>
      <c r="P73" s="297"/>
    </row>
    <row r="74" spans="2:17" x14ac:dyDescent="0.2">
      <c r="B74" s="255">
        <f>K9</f>
        <v>2017</v>
      </c>
      <c r="C74" s="258">
        <v>3243252</v>
      </c>
      <c r="D74" s="251">
        <f>C74/C110</f>
        <v>0.83371236921719638</v>
      </c>
      <c r="E74" s="187">
        <v>3744802</v>
      </c>
      <c r="F74" s="257">
        <f>E74*D74</f>
        <v>3122087.7476692954</v>
      </c>
      <c r="G74" s="184">
        <f>F74/E17</f>
        <v>247.3724544544248</v>
      </c>
      <c r="H74" s="174"/>
      <c r="I74"/>
      <c r="J74" s="296">
        <f>S9</f>
        <v>0</v>
      </c>
      <c r="K74" s="282">
        <v>2720000</v>
      </c>
      <c r="L74" s="283">
        <f>K74/K110</f>
        <v>0.81775002922103468</v>
      </c>
      <c r="M74" s="284">
        <v>2577377.61</v>
      </c>
      <c r="N74" s="284">
        <f>M74*L74</f>
        <v>2107650.6158911404</v>
      </c>
      <c r="O74" s="285">
        <f>N74/10800</f>
        <v>195.15283480473522</v>
      </c>
      <c r="P74" s="297"/>
    </row>
    <row r="75" spans="2:17" x14ac:dyDescent="0.2">
      <c r="C75" s="259"/>
      <c r="D75" s="261"/>
      <c r="E75" s="4"/>
      <c r="F75" s="263"/>
      <c r="G75" s="185">
        <f>AVERAGE(G70:G74)</f>
        <v>253.88062209845071</v>
      </c>
      <c r="H75" s="176" t="s">
        <v>326</v>
      </c>
      <c r="I75"/>
      <c r="J75" s="290"/>
      <c r="K75" s="259"/>
      <c r="L75" s="298"/>
      <c r="M75" s="4"/>
      <c r="N75" s="299"/>
      <c r="O75" s="185">
        <f>AVERAGE(O70:O74)</f>
        <v>226.40090424281706</v>
      </c>
      <c r="P75" s="300" t="s">
        <v>326</v>
      </c>
    </row>
    <row r="76" spans="2:17" x14ac:dyDescent="0.2">
      <c r="C76" s="259"/>
      <c r="D76" s="261"/>
      <c r="E76" s="4"/>
      <c r="F76" s="263"/>
      <c r="I76"/>
      <c r="J76" s="290"/>
      <c r="K76" s="259"/>
      <c r="L76" s="298"/>
      <c r="M76" s="4"/>
      <c r="N76" s="299"/>
      <c r="O76" s="4"/>
      <c r="P76" s="301"/>
    </row>
    <row r="77" spans="2:17" x14ac:dyDescent="0.2">
      <c r="B77" s="254" t="str">
        <f>B20</f>
        <v>GS &lt; 50</v>
      </c>
      <c r="C77" s="260" t="s">
        <v>311</v>
      </c>
      <c r="D77" s="261"/>
      <c r="E77" s="121" t="s">
        <v>68</v>
      </c>
      <c r="F77" s="121" t="s">
        <v>309</v>
      </c>
      <c r="G77" s="121" t="s">
        <v>45</v>
      </c>
      <c r="H77" s="121"/>
      <c r="I77"/>
      <c r="J77" s="292" t="s">
        <v>316</v>
      </c>
      <c r="K77" s="302" t="s">
        <v>311</v>
      </c>
      <c r="L77" s="303"/>
      <c r="M77" s="281" t="s">
        <v>68</v>
      </c>
      <c r="N77" s="281" t="s">
        <v>309</v>
      </c>
      <c r="O77" s="281" t="s">
        <v>45</v>
      </c>
      <c r="P77" s="304"/>
    </row>
    <row r="78" spans="2:17" x14ac:dyDescent="0.2">
      <c r="B78" s="121" t="s">
        <v>8</v>
      </c>
      <c r="C78" s="260" t="s">
        <v>278</v>
      </c>
      <c r="D78" s="121" t="s">
        <v>307</v>
      </c>
      <c r="E78" s="121" t="s">
        <v>217</v>
      </c>
      <c r="F78" s="121" t="s">
        <v>278</v>
      </c>
      <c r="G78" s="121" t="s">
        <v>227</v>
      </c>
      <c r="H78" s="121"/>
      <c r="I78"/>
      <c r="J78" s="295" t="s">
        <v>8</v>
      </c>
      <c r="K78" s="302" t="s">
        <v>278</v>
      </c>
      <c r="L78" s="281" t="s">
        <v>307</v>
      </c>
      <c r="M78" s="281" t="s">
        <v>217</v>
      </c>
      <c r="N78" s="281" t="s">
        <v>278</v>
      </c>
      <c r="O78" s="281" t="s">
        <v>227</v>
      </c>
      <c r="P78" s="304"/>
    </row>
    <row r="79" spans="2:17" x14ac:dyDescent="0.2">
      <c r="B79" s="255">
        <f>B80+1</f>
        <v>2021</v>
      </c>
      <c r="C79" s="258">
        <v>442873.08</v>
      </c>
      <c r="D79" s="251">
        <f>C79/C106</f>
        <v>9.5515786404316225E-2</v>
      </c>
      <c r="E79" s="257">
        <f>E70</f>
        <v>3904283.15</v>
      </c>
      <c r="F79" s="257">
        <f>D79*E79</f>
        <v>372920.67541737092</v>
      </c>
      <c r="G79" s="266">
        <f>F79/E22</f>
        <v>447.68388405446689</v>
      </c>
      <c r="H79" s="174"/>
      <c r="I79"/>
      <c r="J79" s="296">
        <f>J80+1</f>
        <v>4</v>
      </c>
      <c r="K79" s="282">
        <v>341650</v>
      </c>
      <c r="L79" s="283">
        <f>K79/K106</f>
        <v>9.9350073425709173E-2</v>
      </c>
      <c r="M79" s="284">
        <f>M70</f>
        <v>3873589.6700000004</v>
      </c>
      <c r="N79" s="284">
        <f>L79*M79</f>
        <v>384841.41813556862</v>
      </c>
      <c r="O79" s="286">
        <f>N79/790</f>
        <v>487.14103561464384</v>
      </c>
      <c r="P79" s="297"/>
    </row>
    <row r="80" spans="2:17" x14ac:dyDescent="0.2">
      <c r="B80" s="255">
        <f>B81+1</f>
        <v>2020</v>
      </c>
      <c r="C80" s="258">
        <v>424048.8</v>
      </c>
      <c r="D80" s="251">
        <f>C80/C107</f>
        <v>9.4973022803496052E-2</v>
      </c>
      <c r="E80" s="257">
        <f>E71</f>
        <v>4275508</v>
      </c>
      <c r="F80" s="257">
        <f>D80*E80</f>
        <v>406057.91878052981</v>
      </c>
      <c r="G80" s="266">
        <f>F80/E23</f>
        <v>487.17206812301117</v>
      </c>
      <c r="H80" s="174"/>
      <c r="I80"/>
      <c r="J80" s="296">
        <f>J81+1</f>
        <v>3</v>
      </c>
      <c r="K80" s="282">
        <v>361400</v>
      </c>
      <c r="L80" s="283">
        <f>K80/K107</f>
        <v>0.10066011196835919</v>
      </c>
      <c r="M80" s="284">
        <f>M71</f>
        <v>3083912.19</v>
      </c>
      <c r="N80" s="284">
        <f>L80*M80</f>
        <v>310426.94634598779</v>
      </c>
      <c r="O80" s="286">
        <f>N80/785</f>
        <v>395.44833929425198</v>
      </c>
      <c r="P80" s="297"/>
    </row>
    <row r="81" spans="2:16" x14ac:dyDescent="0.2">
      <c r="B81" s="255">
        <f>B82+1</f>
        <v>2019</v>
      </c>
      <c r="C81" s="258">
        <v>421869</v>
      </c>
      <c r="D81" s="251">
        <f>C81/C108</f>
        <v>9.956404782257558E-2</v>
      </c>
      <c r="E81" s="257">
        <f>E72</f>
        <v>3980465</v>
      </c>
      <c r="F81" s="257">
        <f>D81*E81</f>
        <v>396311.20761608833</v>
      </c>
      <c r="G81" s="266">
        <f>F81/E24</f>
        <v>479.50539336489817</v>
      </c>
      <c r="H81" s="174"/>
      <c r="I81"/>
      <c r="J81" s="296">
        <f>J82+1</f>
        <v>2</v>
      </c>
      <c r="K81" s="282">
        <v>353850</v>
      </c>
      <c r="L81" s="283">
        <f>K81/K108</f>
        <v>0.10400317432325192</v>
      </c>
      <c r="M81" s="284">
        <f>M72</f>
        <v>3043873.27</v>
      </c>
      <c r="N81" s="284">
        <f>L81*M81</f>
        <v>316572.48231769685</v>
      </c>
      <c r="O81" s="286">
        <f>N81/775</f>
        <v>408.48062234541527</v>
      </c>
      <c r="P81" s="297"/>
    </row>
    <row r="82" spans="2:16" x14ac:dyDescent="0.2">
      <c r="B82" s="255">
        <f>B83+1</f>
        <v>2018</v>
      </c>
      <c r="C82" s="258">
        <v>408115</v>
      </c>
      <c r="D82" s="251">
        <f>C82/C109</f>
        <v>0.10068341816645976</v>
      </c>
      <c r="E82" s="257">
        <f>E73</f>
        <v>3860463</v>
      </c>
      <c r="F82" s="257">
        <f>D82*E82</f>
        <v>388684.61054514576</v>
      </c>
      <c r="G82" s="266">
        <f>F82/E25</f>
        <v>474.58438406000704</v>
      </c>
      <c r="H82" s="174"/>
      <c r="I82"/>
      <c r="J82" s="296">
        <f>J83+1</f>
        <v>1</v>
      </c>
      <c r="K82" s="282">
        <v>340300</v>
      </c>
      <c r="L82" s="283">
        <f>K82/K109</f>
        <v>0.10079827016779964</v>
      </c>
      <c r="M82" s="284">
        <f>M73</f>
        <v>2970968.94</v>
      </c>
      <c r="N82" s="284">
        <f>L82*M82</f>
        <v>299468.52987426135</v>
      </c>
      <c r="O82" s="286">
        <f>N82/800</f>
        <v>374.33566234282671</v>
      </c>
      <c r="P82" s="297"/>
    </row>
    <row r="83" spans="2:16" x14ac:dyDescent="0.2">
      <c r="B83" s="255">
        <f>K9</f>
        <v>2017</v>
      </c>
      <c r="C83" s="258">
        <v>390939</v>
      </c>
      <c r="D83" s="251">
        <f>C83/C110</f>
        <v>0.10049502163550707</v>
      </c>
      <c r="E83" s="257">
        <f>E74</f>
        <v>3744802</v>
      </c>
      <c r="F83" s="257">
        <f>D83*E83</f>
        <v>376333.95801069011</v>
      </c>
      <c r="G83" s="266">
        <f>F83/E26</f>
        <v>463.18025601315708</v>
      </c>
      <c r="H83" s="174"/>
      <c r="I83"/>
      <c r="J83" s="296">
        <f>S9</f>
        <v>0</v>
      </c>
      <c r="K83" s="282">
        <v>324349.82</v>
      </c>
      <c r="L83" s="283">
        <f>K83/K110</f>
        <v>9.751363043486666E-2</v>
      </c>
      <c r="M83" s="284">
        <f>M74</f>
        <v>2577377.61</v>
      </c>
      <c r="N83" s="284">
        <f>L83*M83</f>
        <v>251329.44775263988</v>
      </c>
      <c r="O83" s="286">
        <f>N83/800</f>
        <v>314.16180969079983</v>
      </c>
      <c r="P83" s="297"/>
    </row>
    <row r="84" spans="2:16" x14ac:dyDescent="0.2">
      <c r="C84" s="259"/>
      <c r="D84" s="261"/>
      <c r="E84" s="4"/>
      <c r="F84" s="263"/>
      <c r="G84" s="185">
        <f>AVERAGE(G79:G83)</f>
        <v>470.42519712310803</v>
      </c>
      <c r="H84" s="176" t="s">
        <v>326</v>
      </c>
      <c r="I84"/>
      <c r="J84" s="290"/>
      <c r="K84" s="259"/>
      <c r="L84" s="298"/>
      <c r="M84" s="4"/>
      <c r="N84" s="299"/>
      <c r="O84" s="185">
        <f>AVERAGE(O79:O83)</f>
        <v>395.91349385758753</v>
      </c>
      <c r="P84" s="300" t="s">
        <v>326</v>
      </c>
    </row>
    <row r="85" spans="2:16" x14ac:dyDescent="0.2">
      <c r="C85" s="259"/>
      <c r="D85" s="261"/>
      <c r="E85" s="4"/>
      <c r="F85" s="263"/>
      <c r="I85"/>
      <c r="J85" s="290"/>
      <c r="K85" s="259"/>
      <c r="L85" s="298"/>
      <c r="M85" s="4"/>
      <c r="N85" s="299"/>
      <c r="O85" s="4"/>
      <c r="P85" s="301"/>
    </row>
    <row r="86" spans="2:16" x14ac:dyDescent="0.2">
      <c r="B86" s="254" t="str">
        <f>B29</f>
        <v>GS &gt; 50</v>
      </c>
      <c r="C86" s="260" t="s">
        <v>311</v>
      </c>
      <c r="D86" s="261"/>
      <c r="E86" s="121" t="s">
        <v>68</v>
      </c>
      <c r="F86" s="121" t="s">
        <v>309</v>
      </c>
      <c r="G86" s="121" t="s">
        <v>45</v>
      </c>
      <c r="H86" s="121"/>
      <c r="I86"/>
      <c r="J86" s="292" t="s">
        <v>317</v>
      </c>
      <c r="K86" s="302" t="s">
        <v>311</v>
      </c>
      <c r="L86" s="303"/>
      <c r="M86" s="281" t="s">
        <v>68</v>
      </c>
      <c r="N86" s="281" t="s">
        <v>309</v>
      </c>
      <c r="O86" s="281" t="s">
        <v>45</v>
      </c>
      <c r="P86" s="304"/>
    </row>
    <row r="87" spans="2:16" x14ac:dyDescent="0.2">
      <c r="B87" s="121" t="s">
        <v>8</v>
      </c>
      <c r="C87" s="260" t="s">
        <v>278</v>
      </c>
      <c r="D87" s="121" t="s">
        <v>307</v>
      </c>
      <c r="E87" s="121" t="s">
        <v>217</v>
      </c>
      <c r="F87" s="121" t="s">
        <v>278</v>
      </c>
      <c r="G87" s="121" t="s">
        <v>227</v>
      </c>
      <c r="H87" s="121"/>
      <c r="I87"/>
      <c r="J87" s="295" t="s">
        <v>8</v>
      </c>
      <c r="K87" s="302" t="s">
        <v>278</v>
      </c>
      <c r="L87" s="281" t="s">
        <v>307</v>
      </c>
      <c r="M87" s="281" t="s">
        <v>217</v>
      </c>
      <c r="N87" s="281" t="s">
        <v>278</v>
      </c>
      <c r="O87" s="281" t="s">
        <v>227</v>
      </c>
      <c r="P87" s="304"/>
    </row>
    <row r="88" spans="2:16" x14ac:dyDescent="0.2">
      <c r="B88" s="255">
        <f>B89+1</f>
        <v>2021</v>
      </c>
      <c r="C88" s="258">
        <v>286863.49</v>
      </c>
      <c r="D88" s="251">
        <f>C88/C106</f>
        <v>6.1868722835979786E-2</v>
      </c>
      <c r="E88" s="257">
        <f>E70</f>
        <v>3904283.15</v>
      </c>
      <c r="F88" s="257">
        <f>D88*E88</f>
        <v>241553.01208053608</v>
      </c>
      <c r="G88" s="266">
        <f>F88/E31</f>
        <v>7210.5376740458532</v>
      </c>
      <c r="H88" s="174"/>
      <c r="I88"/>
      <c r="J88" s="296">
        <f>J89+1</f>
        <v>4</v>
      </c>
      <c r="K88" s="282">
        <v>244400</v>
      </c>
      <c r="L88" s="283">
        <f>K88/K106</f>
        <v>7.1070270584643117E-2</v>
      </c>
      <c r="M88" s="284">
        <f>M70</f>
        <v>3873589.6700000004</v>
      </c>
      <c r="N88" s="284">
        <f>L88*M88</f>
        <v>275297.06598077848</v>
      </c>
      <c r="O88" s="286">
        <f>N88/35</f>
        <v>7865.6304565936707</v>
      </c>
      <c r="P88" s="297"/>
    </row>
    <row r="89" spans="2:16" x14ac:dyDescent="0.2">
      <c r="B89" s="255">
        <f>B90+1</f>
        <v>2020</v>
      </c>
      <c r="C89" s="258">
        <v>276888.65000000002</v>
      </c>
      <c r="D89" s="251">
        <f>C89/C107</f>
        <v>6.201397591616635E-2</v>
      </c>
      <c r="E89" s="257">
        <f>E71</f>
        <v>4275508</v>
      </c>
      <c r="F89" s="257">
        <f>D89*E89</f>
        <v>265141.25014137657</v>
      </c>
      <c r="G89" s="266">
        <f>F89/E32</f>
        <v>7685.2536272862772</v>
      </c>
      <c r="H89" s="174"/>
      <c r="I89"/>
      <c r="J89" s="296">
        <f>J90+1</f>
        <v>3</v>
      </c>
      <c r="K89" s="282">
        <v>267500</v>
      </c>
      <c r="L89" s="283">
        <f>K89/K107</f>
        <v>7.4506308665014065E-2</v>
      </c>
      <c r="M89" s="284">
        <f>M71</f>
        <v>3083912.19</v>
      </c>
      <c r="N89" s="284">
        <f>L89*M89</f>
        <v>229770.9135239395</v>
      </c>
      <c r="O89" s="286">
        <f>N89/35</f>
        <v>6564.8832435411286</v>
      </c>
      <c r="P89" s="297"/>
    </row>
    <row r="90" spans="2:16" x14ac:dyDescent="0.2">
      <c r="B90" s="255">
        <f>B91+1</f>
        <v>2019</v>
      </c>
      <c r="C90" s="258">
        <v>266773</v>
      </c>
      <c r="D90" s="251">
        <f>C90/C108</f>
        <v>6.2960302202275956E-2</v>
      </c>
      <c r="E90" s="257">
        <f>E72</f>
        <v>3980465</v>
      </c>
      <c r="F90" s="257">
        <f>D90*E90</f>
        <v>250611.27930558237</v>
      </c>
      <c r="G90" s="266">
        <f>F90/E33</f>
        <v>7160.3222658737823</v>
      </c>
      <c r="H90" s="174"/>
      <c r="I90"/>
      <c r="J90" s="296">
        <f>J91+1</f>
        <v>2</v>
      </c>
      <c r="K90" s="282">
        <v>255350</v>
      </c>
      <c r="L90" s="283">
        <f>K90/K108</f>
        <v>7.5052170590482914E-2</v>
      </c>
      <c r="M90" s="284">
        <f>M72</f>
        <v>3043873.27</v>
      </c>
      <c r="N90" s="284">
        <f>L90*M90</f>
        <v>228449.29591585105</v>
      </c>
      <c r="O90" s="286">
        <f>N90/30</f>
        <v>7614.9765305283681</v>
      </c>
      <c r="P90" s="297"/>
    </row>
    <row r="91" spans="2:16" x14ac:dyDescent="0.2">
      <c r="B91" s="255">
        <f>B92+1</f>
        <v>2018</v>
      </c>
      <c r="C91" s="258">
        <v>254568</v>
      </c>
      <c r="D91" s="251">
        <f>C91/C109</f>
        <v>6.28028286041908E-2</v>
      </c>
      <c r="E91" s="257">
        <f>E73</f>
        <v>3860463</v>
      </c>
      <c r="F91" s="257">
        <f>D91*E91</f>
        <v>242447.99612182024</v>
      </c>
      <c r="G91" s="266">
        <f>F91/E34</f>
        <v>7027.4781484585574</v>
      </c>
      <c r="H91" s="174"/>
      <c r="I91"/>
      <c r="J91" s="296">
        <f>J92+1</f>
        <v>1</v>
      </c>
      <c r="K91" s="282">
        <v>276000</v>
      </c>
      <c r="L91" s="283">
        <f>K91/K109</f>
        <v>8.1752343715288583E-2</v>
      </c>
      <c r="M91" s="284">
        <f>M73</f>
        <v>2970968.94</v>
      </c>
      <c r="N91" s="284">
        <f>L91*M91</f>
        <v>242883.67395032657</v>
      </c>
      <c r="O91" s="286">
        <f>N91/30</f>
        <v>8096.1224650108861</v>
      </c>
      <c r="P91" s="297"/>
    </row>
    <row r="92" spans="2:16" x14ac:dyDescent="0.2">
      <c r="B92" s="255">
        <f>K9</f>
        <v>2017</v>
      </c>
      <c r="C92" s="258">
        <v>252679</v>
      </c>
      <c r="D92" s="251">
        <f>C92/C110</f>
        <v>6.4953820344959931E-2</v>
      </c>
      <c r="E92" s="257">
        <f>E74</f>
        <v>3744802</v>
      </c>
      <c r="F92" s="257">
        <f>D92*E92</f>
        <v>243239.19633544664</v>
      </c>
      <c r="G92" s="266">
        <f>F92/E35</f>
        <v>6851.8083474773703</v>
      </c>
      <c r="H92" s="174"/>
      <c r="I92"/>
      <c r="J92" s="296">
        <f>S9</f>
        <v>0</v>
      </c>
      <c r="K92" s="282">
        <v>275350</v>
      </c>
      <c r="L92" s="283">
        <f>K92/K110</f>
        <v>8.2782158288974964E-2</v>
      </c>
      <c r="M92" s="284">
        <f>M74</f>
        <v>2577377.61</v>
      </c>
      <c r="N92" s="284">
        <f>L92*M92</f>
        <v>213360.88128147996</v>
      </c>
      <c r="O92" s="286">
        <f>N92/30</f>
        <v>7112.0293760493323</v>
      </c>
      <c r="P92" s="297"/>
    </row>
    <row r="93" spans="2:16" x14ac:dyDescent="0.2">
      <c r="C93" s="259"/>
      <c r="D93" s="261"/>
      <c r="E93" s="23"/>
      <c r="F93" s="264"/>
      <c r="G93" s="185">
        <f>AVERAGE(G88:G92)</f>
        <v>7187.0800126283693</v>
      </c>
      <c r="H93" s="176" t="s">
        <v>326</v>
      </c>
      <c r="I93"/>
      <c r="J93" s="290"/>
      <c r="K93" s="259"/>
      <c r="L93" s="298"/>
      <c r="M93" s="23"/>
      <c r="N93" s="264"/>
      <c r="O93" s="185">
        <f>AVERAGE(O88:O92)</f>
        <v>7450.7284143446768</v>
      </c>
      <c r="P93" s="300" t="s">
        <v>326</v>
      </c>
    </row>
    <row r="94" spans="2:16" x14ac:dyDescent="0.2">
      <c r="C94" s="259"/>
      <c r="D94" s="261"/>
      <c r="E94" s="23"/>
      <c r="F94" s="264"/>
      <c r="G94" s="190"/>
      <c r="H94" s="188"/>
      <c r="I94"/>
      <c r="J94" s="290"/>
      <c r="K94" s="259"/>
      <c r="L94" s="298"/>
      <c r="M94" s="23"/>
      <c r="N94" s="264"/>
      <c r="O94" s="190"/>
      <c r="P94" s="305"/>
    </row>
    <row r="95" spans="2:16" x14ac:dyDescent="0.2">
      <c r="B95" s="254" t="str">
        <f>B38</f>
        <v>USL</v>
      </c>
      <c r="C95" s="260" t="s">
        <v>311</v>
      </c>
      <c r="D95" s="261"/>
      <c r="E95" s="121" t="s">
        <v>68</v>
      </c>
      <c r="F95" s="121" t="s">
        <v>309</v>
      </c>
      <c r="G95" s="121" t="s">
        <v>45</v>
      </c>
      <c r="H95" s="121"/>
      <c r="J95" s="292" t="s">
        <v>318</v>
      </c>
      <c r="K95" s="302" t="s">
        <v>311</v>
      </c>
      <c r="L95" s="303"/>
      <c r="M95" s="281" t="s">
        <v>68</v>
      </c>
      <c r="N95" s="281" t="s">
        <v>309</v>
      </c>
      <c r="O95" s="281" t="s">
        <v>45</v>
      </c>
      <c r="P95" s="304"/>
    </row>
    <row r="96" spans="2:16" x14ac:dyDescent="0.2">
      <c r="B96" s="121" t="s">
        <v>8</v>
      </c>
      <c r="C96" s="260" t="s">
        <v>278</v>
      </c>
      <c r="D96" s="121" t="s">
        <v>307</v>
      </c>
      <c r="E96" s="121" t="s">
        <v>217</v>
      </c>
      <c r="F96" s="121" t="s">
        <v>278</v>
      </c>
      <c r="G96" s="121" t="s">
        <v>227</v>
      </c>
      <c r="H96" s="121"/>
      <c r="J96" s="295" t="s">
        <v>8</v>
      </c>
      <c r="K96" s="302" t="s">
        <v>278</v>
      </c>
      <c r="L96" s="281" t="s">
        <v>307</v>
      </c>
      <c r="M96" s="281" t="s">
        <v>217</v>
      </c>
      <c r="N96" s="281" t="s">
        <v>278</v>
      </c>
      <c r="O96" s="281" t="s">
        <v>227</v>
      </c>
      <c r="P96" s="304"/>
    </row>
    <row r="97" spans="2:16" x14ac:dyDescent="0.2">
      <c r="B97" s="256">
        <f>B98+1</f>
        <v>2021</v>
      </c>
      <c r="C97" s="258">
        <v>3411.55</v>
      </c>
      <c r="D97" s="251">
        <f>C97/C106</f>
        <v>7.3577938200182545E-4</v>
      </c>
      <c r="E97" s="257">
        <f>E70</f>
        <v>3904283.15</v>
      </c>
      <c r="F97" s="257">
        <f>D97*E97</f>
        <v>2872.6910432671402</v>
      </c>
      <c r="G97" s="266">
        <f>F97/E40</f>
        <v>79.796973424087227</v>
      </c>
      <c r="H97" s="174"/>
      <c r="J97" s="306">
        <f>J98+1</f>
        <v>4</v>
      </c>
      <c r="K97" s="282">
        <v>6800</v>
      </c>
      <c r="L97" s="283">
        <f>K97/K106</f>
        <v>1.9774052372159298E-3</v>
      </c>
      <c r="M97" s="284">
        <f>M70</f>
        <v>3873589.6700000004</v>
      </c>
      <c r="N97" s="284">
        <f>L97*M97</f>
        <v>7659.6565002835259</v>
      </c>
      <c r="O97" s="286">
        <f>N97/45</f>
        <v>170.21458889518948</v>
      </c>
      <c r="P97" s="297"/>
    </row>
    <row r="98" spans="2:16" x14ac:dyDescent="0.2">
      <c r="B98" s="256">
        <f>B99+1</f>
        <v>2020</v>
      </c>
      <c r="C98" s="258">
        <v>3307.1</v>
      </c>
      <c r="D98" s="251">
        <f>C98/C107</f>
        <v>7.4068193027180314E-4</v>
      </c>
      <c r="E98" s="257">
        <f>E71</f>
        <v>4275508</v>
      </c>
      <c r="F98" s="257">
        <f>D98*E98</f>
        <v>3166.7915183325367</v>
      </c>
      <c r="G98" s="266">
        <f>F98/E41</f>
        <v>90.479757666643906</v>
      </c>
      <c r="H98" s="174"/>
      <c r="J98" s="306">
        <f>J99+1</f>
        <v>3</v>
      </c>
      <c r="K98" s="282">
        <v>7400</v>
      </c>
      <c r="L98" s="283">
        <f>K98/K107</f>
        <v>2.0611090995181461E-3</v>
      </c>
      <c r="M98" s="284">
        <f>M71</f>
        <v>3083912.19</v>
      </c>
      <c r="N98" s="284">
        <f>L98*M98</f>
        <v>6356.2794769239335</v>
      </c>
      <c r="O98" s="286">
        <f>N98/45</f>
        <v>141.25065504275409</v>
      </c>
      <c r="P98" s="297"/>
    </row>
    <row r="99" spans="2:16" x14ac:dyDescent="0.2">
      <c r="B99" s="256">
        <f>B100+1</f>
        <v>2019</v>
      </c>
      <c r="C99" s="258">
        <v>3190</v>
      </c>
      <c r="D99" s="251">
        <f>C99/C108</f>
        <v>7.5286241120825687E-4</v>
      </c>
      <c r="E99" s="257">
        <f>E72</f>
        <v>3980465</v>
      </c>
      <c r="F99" s="257">
        <f>D99*E99</f>
        <v>2996.7424776300741</v>
      </c>
      <c r="G99" s="266">
        <f>F99/E42</f>
        <v>85.621213646573551</v>
      </c>
      <c r="H99" s="174"/>
      <c r="J99" s="306">
        <f>J100+1</f>
        <v>2</v>
      </c>
      <c r="K99" s="282">
        <v>8100</v>
      </c>
      <c r="L99" s="283">
        <f>K99/K108</f>
        <v>2.3807424389383652E-3</v>
      </c>
      <c r="M99" s="284">
        <f>M72</f>
        <v>3043873.27</v>
      </c>
      <c r="N99" s="284">
        <f>L99*M99</f>
        <v>7246.6782726390966</v>
      </c>
      <c r="O99" s="286">
        <f>N99/50</f>
        <v>144.93356545278192</v>
      </c>
      <c r="P99" s="297"/>
    </row>
    <row r="100" spans="2:16" x14ac:dyDescent="0.2">
      <c r="B100" s="256">
        <f>B101+1</f>
        <v>2018</v>
      </c>
      <c r="C100" s="258">
        <v>2992</v>
      </c>
      <c r="D100" s="251">
        <f>C100/C109</f>
        <v>7.3813701322923101E-4</v>
      </c>
      <c r="E100" s="257">
        <f>E73</f>
        <v>3860463</v>
      </c>
      <c r="F100" s="257">
        <f>D100*E100</f>
        <v>2849.5506285019569</v>
      </c>
      <c r="G100" s="266">
        <f>F100/E43</f>
        <v>82.595670391361068</v>
      </c>
      <c r="H100" s="174"/>
      <c r="J100" s="306">
        <f>J101+1</f>
        <v>1</v>
      </c>
      <c r="K100" s="282">
        <v>6750</v>
      </c>
      <c r="L100" s="283">
        <f>K100/K109</f>
        <v>1.9993779712978183E-3</v>
      </c>
      <c r="M100" s="284">
        <f>M73</f>
        <v>2970968.94</v>
      </c>
      <c r="N100" s="284">
        <f>L100*M100</f>
        <v>5940.0898520460296</v>
      </c>
      <c r="O100" s="286">
        <f>N100/25</f>
        <v>237.60359408184118</v>
      </c>
      <c r="P100" s="297"/>
    </row>
    <row r="101" spans="2:16" x14ac:dyDescent="0.2">
      <c r="B101" s="256">
        <f>K9</f>
        <v>2017</v>
      </c>
      <c r="C101" s="258">
        <v>3263</v>
      </c>
      <c r="D101" s="251">
        <f>C101/C110</f>
        <v>8.3878880233657818E-4</v>
      </c>
      <c r="E101" s="257">
        <f>E74</f>
        <v>3744802</v>
      </c>
      <c r="F101" s="257">
        <f>D101*E101</f>
        <v>3141.0979845676225</v>
      </c>
      <c r="G101" s="266">
        <f>F101/E44</f>
        <v>95.184787411140078</v>
      </c>
      <c r="H101" s="174"/>
      <c r="J101" s="306">
        <f>S9</f>
        <v>0</v>
      </c>
      <c r="K101" s="282">
        <v>6500</v>
      </c>
      <c r="L101" s="283">
        <f>K101/K110</f>
        <v>1.9541820551237962E-3</v>
      </c>
      <c r="M101" s="284">
        <f>M74</f>
        <v>2577377.61</v>
      </c>
      <c r="N101" s="284">
        <f>L101*M101</f>
        <v>5036.665074739858</v>
      </c>
      <c r="O101" s="286">
        <f>N101/25</f>
        <v>201.46660298959432</v>
      </c>
      <c r="P101" s="297"/>
    </row>
    <row r="102" spans="2:16" x14ac:dyDescent="0.2">
      <c r="C102" s="259"/>
      <c r="D102" s="261"/>
      <c r="E102" s="23"/>
      <c r="F102" s="264"/>
      <c r="G102" s="185">
        <f>AVERAGE(G97:G101)</f>
        <v>86.735680507961163</v>
      </c>
      <c r="H102" s="176" t="s">
        <v>326</v>
      </c>
      <c r="J102" s="290"/>
      <c r="K102" s="259"/>
      <c r="L102" s="298"/>
      <c r="M102" s="23"/>
      <c r="N102" s="264"/>
      <c r="O102" s="185">
        <f>AVERAGE(O97:O101)</f>
        <v>179.0938012924322</v>
      </c>
      <c r="P102" s="300" t="s">
        <v>326</v>
      </c>
    </row>
    <row r="103" spans="2:16" x14ac:dyDescent="0.2">
      <c r="C103" s="259"/>
      <c r="D103" s="261"/>
      <c r="F103" s="265"/>
      <c r="G103"/>
      <c r="J103" s="290"/>
      <c r="K103" s="259"/>
      <c r="L103" s="298"/>
      <c r="N103" s="307"/>
      <c r="P103" s="301"/>
    </row>
    <row r="104" spans="2:16" x14ac:dyDescent="0.2">
      <c r="B104" s="254" t="str">
        <f>B47</f>
        <v>Total</v>
      </c>
      <c r="C104" s="260" t="s">
        <v>311</v>
      </c>
      <c r="D104" s="261"/>
      <c r="E104" s="121" t="s">
        <v>68</v>
      </c>
      <c r="F104" s="121" t="s">
        <v>309</v>
      </c>
      <c r="G104" s="121" t="s">
        <v>45</v>
      </c>
      <c r="H104" s="121"/>
      <c r="J104" s="292" t="s">
        <v>35</v>
      </c>
      <c r="K104" s="302" t="s">
        <v>311</v>
      </c>
      <c r="L104" s="303"/>
      <c r="M104" s="281" t="s">
        <v>68</v>
      </c>
      <c r="N104" s="281" t="s">
        <v>309</v>
      </c>
      <c r="O104" s="281" t="s">
        <v>45</v>
      </c>
      <c r="P104" s="304"/>
    </row>
    <row r="105" spans="2:16" x14ac:dyDescent="0.2">
      <c r="B105" s="121" t="s">
        <v>8</v>
      </c>
      <c r="C105" s="260" t="s">
        <v>278</v>
      </c>
      <c r="D105" s="121" t="s">
        <v>307</v>
      </c>
      <c r="E105" s="121" t="s">
        <v>217</v>
      </c>
      <c r="F105" s="121" t="s">
        <v>278</v>
      </c>
      <c r="G105" s="121" t="s">
        <v>227</v>
      </c>
      <c r="H105" s="121"/>
      <c r="J105" s="295" t="s">
        <v>8</v>
      </c>
      <c r="K105" s="302" t="s">
        <v>278</v>
      </c>
      <c r="L105" s="281" t="s">
        <v>307</v>
      </c>
      <c r="M105" s="281" t="s">
        <v>217</v>
      </c>
      <c r="N105" s="281" t="s">
        <v>278</v>
      </c>
      <c r="O105" s="281" t="s">
        <v>227</v>
      </c>
      <c r="P105" s="304"/>
    </row>
    <row r="106" spans="2:16" x14ac:dyDescent="0.2">
      <c r="B106" s="255">
        <f>B107+1</f>
        <v>2021</v>
      </c>
      <c r="C106" s="262">
        <f>C70+C79+C88+C97</f>
        <v>4636648</v>
      </c>
      <c r="D106" s="251">
        <f t="shared" ref="C106:D110" si="2">D70+D79+D88+D97</f>
        <v>1</v>
      </c>
      <c r="E106" s="257">
        <f>E70</f>
        <v>3904283.15</v>
      </c>
      <c r="F106" s="257">
        <f>F70+F79+F88+F97</f>
        <v>3904283.15</v>
      </c>
      <c r="G106" s="184">
        <f>F106/E49</f>
        <v>271.0837111612567</v>
      </c>
      <c r="H106" s="174"/>
      <c r="J106" s="296">
        <f>J107+1</f>
        <v>4</v>
      </c>
      <c r="K106" s="282">
        <f t="shared" ref="K106:L110" si="3">K70+K79+K88+K97</f>
        <v>3438850</v>
      </c>
      <c r="L106" s="283">
        <f t="shared" si="3"/>
        <v>1</v>
      </c>
      <c r="M106" s="284">
        <f>M70</f>
        <v>3873589.6700000004</v>
      </c>
      <c r="N106" s="284">
        <f>N70+N79+N88+N97</f>
        <v>3873589.6700000004</v>
      </c>
      <c r="O106" s="285">
        <f>N106/12581</f>
        <v>307.89203322470394</v>
      </c>
      <c r="P106" s="297"/>
    </row>
    <row r="107" spans="2:16" x14ac:dyDescent="0.2">
      <c r="B107" s="255">
        <f>B108+1</f>
        <v>2020</v>
      </c>
      <c r="C107" s="262">
        <f t="shared" si="2"/>
        <v>4464939.4899999993</v>
      </c>
      <c r="D107" s="251">
        <f t="shared" si="2"/>
        <v>1.0000000000000002</v>
      </c>
      <c r="E107" s="257">
        <f>E71</f>
        <v>4275508</v>
      </c>
      <c r="F107" s="257">
        <f>F71+F80+F89+F98</f>
        <v>4275508.0000000009</v>
      </c>
      <c r="G107" s="184">
        <f>F107/E50</f>
        <v>302.03864222387062</v>
      </c>
      <c r="H107" s="174"/>
      <c r="J107" s="296">
        <f>J108+1</f>
        <v>3</v>
      </c>
      <c r="K107" s="282">
        <f t="shared" si="3"/>
        <v>3590300</v>
      </c>
      <c r="L107" s="283">
        <f t="shared" si="3"/>
        <v>1</v>
      </c>
      <c r="M107" s="284">
        <f>M71</f>
        <v>3083912.19</v>
      </c>
      <c r="N107" s="284">
        <f>N71+N80+N89+N98</f>
        <v>3083912.19</v>
      </c>
      <c r="O107" s="285">
        <f>N107/12369</f>
        <v>249.32591074460345</v>
      </c>
      <c r="P107" s="297"/>
    </row>
    <row r="108" spans="2:16" x14ac:dyDescent="0.2">
      <c r="B108" s="255">
        <f>B109+1</f>
        <v>2019</v>
      </c>
      <c r="C108" s="262">
        <f t="shared" si="2"/>
        <v>4237162</v>
      </c>
      <c r="D108" s="251">
        <f t="shared" si="2"/>
        <v>1</v>
      </c>
      <c r="E108" s="257">
        <f>E72</f>
        <v>3980465</v>
      </c>
      <c r="F108" s="257">
        <f>F72+F81+F90+F99</f>
        <v>3980465.0000000005</v>
      </c>
      <c r="G108" s="184">
        <f>F108/E51</f>
        <v>285.70664656904972</v>
      </c>
      <c r="H108" s="174"/>
      <c r="J108" s="296">
        <f>J109+1</f>
        <v>2</v>
      </c>
      <c r="K108" s="282">
        <f t="shared" si="3"/>
        <v>3402300</v>
      </c>
      <c r="L108" s="283">
        <f t="shared" si="3"/>
        <v>1</v>
      </c>
      <c r="M108" s="284">
        <f>M72</f>
        <v>3043873.27</v>
      </c>
      <c r="N108" s="284">
        <f>N72+N81+N90+N99</f>
        <v>3043873.27</v>
      </c>
      <c r="O108" s="285">
        <f>N108/12094</f>
        <v>251.6845766495783</v>
      </c>
      <c r="P108" s="297"/>
    </row>
    <row r="109" spans="2:16" x14ac:dyDescent="0.2">
      <c r="B109" s="255">
        <f>B110+1</f>
        <v>2018</v>
      </c>
      <c r="C109" s="262">
        <f t="shared" si="2"/>
        <v>4053448</v>
      </c>
      <c r="D109" s="251">
        <f t="shared" si="2"/>
        <v>1</v>
      </c>
      <c r="E109" s="257">
        <f>E73</f>
        <v>3860463</v>
      </c>
      <c r="F109" s="257">
        <f>F73+F82+F91+F100</f>
        <v>3860462.9999999995</v>
      </c>
      <c r="G109" s="184">
        <f>F109/E52</f>
        <v>281.25185778813926</v>
      </c>
      <c r="H109" s="174"/>
      <c r="J109" s="296">
        <f>J110+1</f>
        <v>1</v>
      </c>
      <c r="K109" s="282">
        <f t="shared" si="3"/>
        <v>3376050</v>
      </c>
      <c r="L109" s="283">
        <f t="shared" si="3"/>
        <v>1</v>
      </c>
      <c r="M109" s="284">
        <f>M73</f>
        <v>2970968.94</v>
      </c>
      <c r="N109" s="284">
        <f>N73+N82+N91+N100</f>
        <v>2970968.9400000004</v>
      </c>
      <c r="O109" s="285">
        <f>N109/11869</f>
        <v>250.31333220995876</v>
      </c>
      <c r="P109" s="297"/>
    </row>
    <row r="110" spans="2:16" x14ac:dyDescent="0.2">
      <c r="B110" s="255">
        <f>K9</f>
        <v>2017</v>
      </c>
      <c r="C110" s="262">
        <f t="shared" si="2"/>
        <v>3890133</v>
      </c>
      <c r="D110" s="251">
        <f t="shared" si="2"/>
        <v>0.99999999999999989</v>
      </c>
      <c r="E110" s="257">
        <f>E74</f>
        <v>3744802</v>
      </c>
      <c r="F110" s="257">
        <f>F74+F83+F92+F101</f>
        <v>3744802</v>
      </c>
      <c r="G110" s="184">
        <f>F110/E53</f>
        <v>277.35165160716929</v>
      </c>
      <c r="H110" s="174"/>
      <c r="J110" s="296">
        <f>S9</f>
        <v>0</v>
      </c>
      <c r="K110" s="282">
        <f t="shared" si="3"/>
        <v>3326199.82</v>
      </c>
      <c r="L110" s="283">
        <f t="shared" si="3"/>
        <v>1.0000000000000002</v>
      </c>
      <c r="M110" s="284">
        <f>M74</f>
        <v>2577377.61</v>
      </c>
      <c r="N110" s="284">
        <f>N74+N83+N92+N101</f>
        <v>2577377.6100000008</v>
      </c>
      <c r="O110" s="285">
        <f>N110/11685</f>
        <v>220.57146854942241</v>
      </c>
      <c r="P110" s="297"/>
    </row>
    <row r="111" spans="2:16" ht="13.5" thickBot="1" x14ac:dyDescent="0.25">
      <c r="E111" s="23"/>
      <c r="F111" s="186"/>
      <c r="G111" s="185">
        <f>AVERAGE(G106:G110)</f>
        <v>283.4865018698971</v>
      </c>
      <c r="H111" s="176" t="s">
        <v>326</v>
      </c>
      <c r="J111" s="290"/>
      <c r="M111" s="23"/>
      <c r="N111" s="186"/>
      <c r="O111" s="309">
        <f>AVERAGE(O106:O110)</f>
        <v>255.95746427565336</v>
      </c>
      <c r="P111" s="310" t="s">
        <v>326</v>
      </c>
    </row>
    <row r="112" spans="2:16" x14ac:dyDescent="0.2">
      <c r="G112"/>
      <c r="J112" s="311"/>
      <c r="K112" s="311"/>
      <c r="L112" s="287"/>
      <c r="M112" s="287"/>
      <c r="N112" s="287"/>
      <c r="O112" s="287"/>
      <c r="P112" s="287"/>
    </row>
    <row r="113" spans="6:11" x14ac:dyDescent="0.2">
      <c r="G113"/>
      <c r="K113" s="4"/>
    </row>
    <row r="114" spans="6:11" x14ac:dyDescent="0.2">
      <c r="F114" s="367"/>
      <c r="G114"/>
      <c r="K114" s="4"/>
    </row>
    <row r="115" spans="6:11" x14ac:dyDescent="0.2">
      <c r="F115" s="367"/>
      <c r="G115"/>
      <c r="K115" s="4"/>
    </row>
    <row r="116" spans="6:11" x14ac:dyDescent="0.2">
      <c r="F116" s="367"/>
      <c r="G116"/>
      <c r="J116"/>
      <c r="K116" s="4"/>
    </row>
    <row r="117" spans="6:11" x14ac:dyDescent="0.2">
      <c r="F117" s="4"/>
      <c r="K117" s="4"/>
    </row>
    <row r="118" spans="6:11" x14ac:dyDescent="0.2">
      <c r="K118" s="4"/>
    </row>
    <row r="119" spans="6:11" x14ac:dyDescent="0.2">
      <c r="K119" s="4"/>
    </row>
    <row r="120" spans="6:11" x14ac:dyDescent="0.2">
      <c r="K120" s="4"/>
    </row>
    <row r="121" spans="6:11" x14ac:dyDescent="0.2">
      <c r="K121" s="4"/>
    </row>
    <row r="122" spans="6:11" x14ac:dyDescent="0.2">
      <c r="K122" s="4"/>
    </row>
    <row r="123" spans="6:11" x14ac:dyDescent="0.2">
      <c r="K123" s="4"/>
    </row>
    <row r="124" spans="6:11" x14ac:dyDescent="0.2">
      <c r="K124" s="4"/>
    </row>
    <row r="125" spans="6:11" x14ac:dyDescent="0.2">
      <c r="K125" s="4"/>
    </row>
    <row r="126" spans="6:11" x14ac:dyDescent="0.2">
      <c r="K126" s="4"/>
    </row>
    <row r="127" spans="6:11" x14ac:dyDescent="0.2">
      <c r="K127" s="4"/>
    </row>
    <row r="128" spans="6:11" x14ac:dyDescent="0.2">
      <c r="K128" s="4"/>
    </row>
    <row r="129" spans="11:11" x14ac:dyDescent="0.2">
      <c r="K129" s="4"/>
    </row>
    <row r="130" spans="11:11" x14ac:dyDescent="0.2">
      <c r="K130" s="4"/>
    </row>
  </sheetData>
  <phoneticPr fontId="16" type="noConversion"/>
  <pageMargins left="0.74803149606299213" right="0.74803149606299213" top="0.98425196850393704" bottom="0.98425196850393704" header="0.51181102362204722" footer="0.51181102362204722"/>
  <pageSetup scale="60" orientation="landscape" r:id="rId1"/>
  <headerFooter alignWithMargins="0"/>
  <rowBreaks count="1" manualBreakCount="1">
    <brk id="58" max="1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0"/>
  <sheetViews>
    <sheetView workbookViewId="0">
      <selection activeCell="H11" sqref="H11"/>
    </sheetView>
  </sheetViews>
  <sheetFormatPr defaultRowHeight="12.75" x14ac:dyDescent="0.2"/>
  <cols>
    <col min="1" max="1" width="43.85546875" bestFit="1" customWidth="1"/>
    <col min="2" max="2" width="15.85546875" customWidth="1"/>
    <col min="3" max="3" width="7" bestFit="1" customWidth="1"/>
    <col min="8" max="8" width="27.42578125" bestFit="1" customWidth="1"/>
  </cols>
  <sheetData>
    <row r="1" spans="1:6" ht="15.75" x14ac:dyDescent="0.25">
      <c r="A1" s="8" t="s">
        <v>341</v>
      </c>
      <c r="B1" s="368" t="s">
        <v>361</v>
      </c>
      <c r="C1" s="368"/>
      <c r="D1" s="368"/>
    </row>
    <row r="2" spans="1:6" ht="15.75" x14ac:dyDescent="0.25">
      <c r="A2" s="8" t="s">
        <v>342</v>
      </c>
      <c r="B2" s="329" t="s">
        <v>360</v>
      </c>
      <c r="C2" s="203"/>
      <c r="D2" s="203"/>
    </row>
    <row r="3" spans="1:6" ht="15.75" x14ac:dyDescent="0.25">
      <c r="A3" s="8" t="s">
        <v>343</v>
      </c>
      <c r="B3" s="330">
        <v>2022</v>
      </c>
      <c r="C3" s="203"/>
      <c r="D3" s="203"/>
    </row>
    <row r="5" spans="1:6" ht="15.75" x14ac:dyDescent="0.25">
      <c r="A5" s="8" t="s">
        <v>148</v>
      </c>
      <c r="B5" s="337">
        <v>0</v>
      </c>
      <c r="C5" s="337">
        <v>1</v>
      </c>
      <c r="D5" s="337">
        <v>2</v>
      </c>
      <c r="E5" s="337">
        <f>D5+1</f>
        <v>3</v>
      </c>
      <c r="F5" s="337">
        <f>E5+1</f>
        <v>4</v>
      </c>
    </row>
    <row r="6" spans="1:6" ht="15" x14ac:dyDescent="0.2">
      <c r="A6" s="331" t="str">
        <f>'Baseline Inputs'!A191</f>
        <v>Residential</v>
      </c>
      <c r="B6" s="339">
        <v>8</v>
      </c>
      <c r="C6" s="339">
        <v>2</v>
      </c>
      <c r="D6" s="340"/>
      <c r="E6" s="340"/>
      <c r="F6" s="340"/>
    </row>
    <row r="7" spans="1:6" ht="15" x14ac:dyDescent="0.2">
      <c r="A7" s="331" t="str">
        <f>'Baseline Inputs'!A192</f>
        <v>General Service &lt; 50</v>
      </c>
      <c r="B7" s="339"/>
      <c r="C7" s="339"/>
      <c r="D7" s="340"/>
      <c r="E7" s="340"/>
      <c r="F7" s="340"/>
    </row>
    <row r="8" spans="1:6" ht="15" x14ac:dyDescent="0.2">
      <c r="A8" s="331" t="str">
        <f>'Baseline Inputs'!A193</f>
        <v>General Service &gt; 50</v>
      </c>
      <c r="B8" s="339"/>
      <c r="C8" s="339"/>
      <c r="D8" s="340"/>
      <c r="E8" s="340"/>
      <c r="F8" s="340"/>
    </row>
    <row r="9" spans="1:6" ht="15" x14ac:dyDescent="0.2">
      <c r="A9" s="331" t="str">
        <f>'Baseline Inputs'!A194</f>
        <v xml:space="preserve">Unmetered Scattered Load </v>
      </c>
      <c r="B9" s="339"/>
      <c r="C9" s="339"/>
      <c r="D9" s="340"/>
      <c r="E9" s="340"/>
      <c r="F9" s="340"/>
    </row>
    <row r="11" spans="1:6" ht="15.75" x14ac:dyDescent="0.25">
      <c r="A11" s="8" t="s">
        <v>37</v>
      </c>
      <c r="B11" s="203"/>
      <c r="C11" s="203"/>
      <c r="D11" s="203"/>
      <c r="E11" s="203"/>
      <c r="F11" s="203"/>
    </row>
    <row r="12" spans="1:6" ht="15.75" x14ac:dyDescent="0.25">
      <c r="A12" s="8" t="s">
        <v>108</v>
      </c>
      <c r="B12" s="337">
        <v>0</v>
      </c>
      <c r="C12" s="337">
        <f>B12+1</f>
        <v>1</v>
      </c>
      <c r="D12" s="337">
        <f>C12+1</f>
        <v>2</v>
      </c>
      <c r="E12" s="337">
        <f>D12+1</f>
        <v>3</v>
      </c>
      <c r="F12" s="337">
        <f>E12+1</f>
        <v>4</v>
      </c>
    </row>
    <row r="13" spans="1:6" ht="15" x14ac:dyDescent="0.2">
      <c r="A13" s="331" t="str">
        <f>'Baseline Inputs'!A205</f>
        <v>1820 Distribution Station Equipment</v>
      </c>
      <c r="B13" s="338"/>
      <c r="C13" s="338"/>
      <c r="D13" s="338"/>
      <c r="E13" s="338"/>
      <c r="F13" s="338"/>
    </row>
    <row r="14" spans="1:6" ht="15" x14ac:dyDescent="0.2">
      <c r="A14" s="331" t="str">
        <f>'Baseline Inputs'!A206</f>
        <v>1830 Poles, Towers &amp; Fixtures</v>
      </c>
      <c r="B14" s="338"/>
      <c r="C14" s="338"/>
      <c r="D14" s="338"/>
      <c r="E14" s="338"/>
      <c r="F14" s="338"/>
    </row>
    <row r="15" spans="1:6" ht="15" x14ac:dyDescent="0.2">
      <c r="A15" s="331" t="str">
        <f>'Baseline Inputs'!A207</f>
        <v>1835 Overhead Conductors &amp; Devices</v>
      </c>
      <c r="B15" s="338"/>
      <c r="C15" s="338"/>
      <c r="D15" s="338"/>
      <c r="E15" s="338"/>
      <c r="F15" s="338"/>
    </row>
    <row r="16" spans="1:6" ht="15" x14ac:dyDescent="0.2">
      <c r="A16" s="331" t="str">
        <f>'Baseline Inputs'!A208</f>
        <v>1840 Underground Conduit</v>
      </c>
      <c r="B16" s="338"/>
      <c r="C16" s="338"/>
      <c r="D16" s="338"/>
      <c r="E16" s="338"/>
      <c r="F16" s="338"/>
    </row>
    <row r="17" spans="1:6" ht="15" x14ac:dyDescent="0.2">
      <c r="A17" s="331" t="str">
        <f>'Baseline Inputs'!A209</f>
        <v>1845 Underground Conductors &amp; Devices</v>
      </c>
      <c r="B17" s="338">
        <v>12218.77</v>
      </c>
      <c r="C17" s="338"/>
      <c r="D17" s="338"/>
      <c r="E17" s="338"/>
      <c r="F17" s="338"/>
    </row>
    <row r="18" spans="1:6" ht="15" x14ac:dyDescent="0.2">
      <c r="A18" s="331" t="str">
        <f>'Baseline Inputs'!A210</f>
        <v>1850 Transformers</v>
      </c>
      <c r="B18" s="338">
        <v>9478.81</v>
      </c>
      <c r="C18" s="338"/>
      <c r="D18" s="338"/>
      <c r="E18" s="338"/>
      <c r="F18" s="338"/>
    </row>
    <row r="19" spans="1:6" ht="15" x14ac:dyDescent="0.2">
      <c r="A19" s="331" t="str">
        <f>'Baseline Inputs'!A211</f>
        <v>1855 Services</v>
      </c>
      <c r="B19" s="338">
        <v>29633.81</v>
      </c>
      <c r="C19" s="338"/>
      <c r="D19" s="338"/>
      <c r="E19" s="338"/>
      <c r="F19" s="338"/>
    </row>
    <row r="20" spans="1:6" ht="15" x14ac:dyDescent="0.2">
      <c r="A20" s="331" t="str">
        <f>'Baseline Inputs'!A212</f>
        <v>1860 Meters</v>
      </c>
      <c r="B20" s="338"/>
      <c r="C20" s="338"/>
      <c r="D20" s="338"/>
      <c r="E20" s="338"/>
      <c r="F20" s="338"/>
    </row>
    <row r="21" spans="1:6" ht="15" x14ac:dyDescent="0.2">
      <c r="A21" s="331">
        <f>'Baseline Inputs'!A213</f>
        <v>0</v>
      </c>
      <c r="B21" s="338"/>
      <c r="C21" s="338"/>
      <c r="D21" s="338"/>
      <c r="E21" s="338"/>
      <c r="F21" s="338"/>
    </row>
    <row r="22" spans="1:6" ht="15" x14ac:dyDescent="0.2">
      <c r="A22" s="331">
        <f>'Baseline Inputs'!A214</f>
        <v>0</v>
      </c>
      <c r="B22" s="338"/>
      <c r="C22" s="338"/>
      <c r="D22" s="338"/>
      <c r="E22" s="338"/>
      <c r="F22" s="338"/>
    </row>
    <row r="23" spans="1:6" ht="15.75" x14ac:dyDescent="0.25">
      <c r="A23" s="13" t="s">
        <v>65</v>
      </c>
      <c r="B23" s="336">
        <f>SUM(B13:B22)</f>
        <v>51331.39</v>
      </c>
      <c r="C23" s="336">
        <f>SUM(C13:C22)</f>
        <v>0</v>
      </c>
      <c r="D23" s="336">
        <f>SUM(D13:D22)</f>
        <v>0</v>
      </c>
      <c r="E23" s="336">
        <f>SUM(E13:E22)</f>
        <v>0</v>
      </c>
      <c r="F23" s="336">
        <f>SUM(F13:F22)</f>
        <v>0</v>
      </c>
    </row>
    <row r="24" spans="1:6" x14ac:dyDescent="0.2">
      <c r="A24" s="20"/>
      <c r="B24" s="18"/>
      <c r="C24" s="18"/>
      <c r="D24" s="18"/>
      <c r="E24" s="18"/>
      <c r="F24" s="18"/>
    </row>
    <row r="25" spans="1:6" ht="15.75" x14ac:dyDescent="0.25">
      <c r="A25" s="13" t="s">
        <v>267</v>
      </c>
      <c r="B25" s="337">
        <v>0</v>
      </c>
      <c r="C25" s="337">
        <f>B25+1</f>
        <v>1</v>
      </c>
      <c r="D25" s="337">
        <f>C25+1</f>
        <v>2</v>
      </c>
      <c r="E25" s="337">
        <f>D25+1</f>
        <v>3</v>
      </c>
      <c r="F25" s="337">
        <f>E25+1</f>
        <v>4</v>
      </c>
    </row>
    <row r="26" spans="1:6" ht="15" x14ac:dyDescent="0.2">
      <c r="A26" s="331" t="str">
        <f>'Baseline Inputs'!A218</f>
        <v>1820 Distribution Station Equipment</v>
      </c>
      <c r="B26" s="332"/>
      <c r="C26" s="332"/>
      <c r="D26" s="332"/>
      <c r="E26" s="332"/>
      <c r="F26" s="332"/>
    </row>
    <row r="27" spans="1:6" ht="15" x14ac:dyDescent="0.2">
      <c r="A27" s="331" t="str">
        <f>'Baseline Inputs'!A219</f>
        <v>1830 Poles, Towers &amp; Fixtures</v>
      </c>
      <c r="B27" s="332"/>
      <c r="C27" s="332"/>
      <c r="D27" s="332"/>
      <c r="E27" s="332"/>
      <c r="F27" s="332"/>
    </row>
    <row r="28" spans="1:6" ht="15" x14ac:dyDescent="0.2">
      <c r="A28" s="331" t="str">
        <f>'Baseline Inputs'!A220</f>
        <v>1835 Overhead Conductors &amp; Devices</v>
      </c>
      <c r="B28" s="332"/>
      <c r="C28" s="332"/>
      <c r="D28" s="332"/>
      <c r="E28" s="332"/>
      <c r="F28" s="332"/>
    </row>
    <row r="29" spans="1:6" ht="15" x14ac:dyDescent="0.2">
      <c r="A29" s="331" t="str">
        <f>'Baseline Inputs'!A221</f>
        <v>1840 Underground Conduit</v>
      </c>
      <c r="B29" s="332"/>
      <c r="C29" s="332"/>
      <c r="D29" s="332"/>
      <c r="E29" s="332"/>
      <c r="F29" s="332"/>
    </row>
    <row r="30" spans="1:6" ht="15" x14ac:dyDescent="0.2">
      <c r="A30" s="331" t="str">
        <f>'Baseline Inputs'!A222</f>
        <v>1845 Underground Conductors &amp; Devices</v>
      </c>
      <c r="B30" s="332"/>
      <c r="C30" s="332"/>
      <c r="D30" s="332"/>
      <c r="E30" s="332"/>
      <c r="F30" s="332"/>
    </row>
    <row r="31" spans="1:6" ht="15" x14ac:dyDescent="0.2">
      <c r="A31" s="331" t="str">
        <f>'Baseline Inputs'!A223</f>
        <v>1850 Transformers</v>
      </c>
      <c r="B31" s="332"/>
      <c r="C31" s="332"/>
      <c r="D31" s="332"/>
      <c r="E31" s="332"/>
      <c r="F31" s="332"/>
    </row>
    <row r="32" spans="1:6" ht="15" x14ac:dyDescent="0.2">
      <c r="A32" s="331" t="str">
        <f>'Baseline Inputs'!A224</f>
        <v>1855 Services</v>
      </c>
      <c r="B32" s="332"/>
      <c r="C32" s="332"/>
      <c r="D32" s="332"/>
      <c r="E32" s="332"/>
      <c r="F32" s="332"/>
    </row>
    <row r="33" spans="1:8" ht="15" x14ac:dyDescent="0.2">
      <c r="A33" s="331" t="str">
        <f>'Baseline Inputs'!A225</f>
        <v>1860 Meters</v>
      </c>
      <c r="B33" s="332"/>
      <c r="C33" s="332"/>
      <c r="D33" s="332"/>
      <c r="E33" s="332"/>
      <c r="F33" s="332"/>
    </row>
    <row r="34" spans="1:8" ht="15" x14ac:dyDescent="0.2">
      <c r="A34" s="331">
        <f>'Baseline Inputs'!A226</f>
        <v>0</v>
      </c>
      <c r="B34" s="332"/>
      <c r="C34" s="332"/>
      <c r="D34" s="332"/>
      <c r="E34" s="332"/>
      <c r="F34" s="332"/>
    </row>
    <row r="35" spans="1:8" ht="15" x14ac:dyDescent="0.2">
      <c r="A35" s="331">
        <f>'Baseline Inputs'!A227</f>
        <v>0</v>
      </c>
      <c r="B35" s="334"/>
      <c r="C35" s="334"/>
      <c r="D35" s="334"/>
      <c r="E35" s="334"/>
      <c r="F35" s="334"/>
    </row>
    <row r="36" spans="1:8" ht="15.75" x14ac:dyDescent="0.25">
      <c r="A36" s="13" t="s">
        <v>268</v>
      </c>
      <c r="B36" s="336">
        <f>SUM(B26:B35)</f>
        <v>0</v>
      </c>
      <c r="C36" s="336">
        <f>SUM(C26:C35)</f>
        <v>0</v>
      </c>
      <c r="D36" s="336">
        <f>SUM(D26:D35)</f>
        <v>0</v>
      </c>
      <c r="E36" s="336">
        <f>SUM(E26:E35)</f>
        <v>0</v>
      </c>
      <c r="F36" s="336">
        <f>SUM(F26:F35)</f>
        <v>0</v>
      </c>
    </row>
    <row r="38" spans="1:8" ht="15.75" x14ac:dyDescent="0.25">
      <c r="A38" s="8" t="s">
        <v>93</v>
      </c>
      <c r="B38" s="332"/>
      <c r="C38" s="332"/>
      <c r="D38" s="332"/>
      <c r="E38" s="332"/>
      <c r="F38" s="332"/>
      <c r="G38" s="203"/>
    </row>
    <row r="39" spans="1:8" ht="15.75" x14ac:dyDescent="0.25">
      <c r="A39" s="8"/>
      <c r="B39" s="333"/>
      <c r="C39" s="333"/>
      <c r="D39" s="333"/>
      <c r="E39" s="333"/>
      <c r="F39" s="333"/>
      <c r="G39" s="203"/>
    </row>
    <row r="40" spans="1:8" ht="15.75" x14ac:dyDescent="0.25">
      <c r="A40" s="8" t="s">
        <v>35</v>
      </c>
      <c r="B40" s="335">
        <f>B23+B36+B38</f>
        <v>51331.39</v>
      </c>
      <c r="C40" s="335">
        <f>C23+C36+C38</f>
        <v>0</v>
      </c>
      <c r="D40" s="335">
        <f>D23+D36+D38</f>
        <v>0</v>
      </c>
      <c r="E40" s="335">
        <f>E23+E36+E38</f>
        <v>0</v>
      </c>
      <c r="F40" s="335">
        <f>F23+F36+F38</f>
        <v>0</v>
      </c>
      <c r="G40" s="203"/>
      <c r="H40" s="8" t="s">
        <v>348</v>
      </c>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08"/>
  <sheetViews>
    <sheetView zoomScaleNormal="100" workbookViewId="0">
      <selection activeCell="B3" sqref="B3"/>
    </sheetView>
  </sheetViews>
  <sheetFormatPr defaultRowHeight="12.75" x14ac:dyDescent="0.2"/>
  <cols>
    <col min="1" max="1" width="40.7109375" customWidth="1"/>
    <col min="2" max="4" width="13.7109375" customWidth="1"/>
    <col min="5" max="5" width="18.42578125" customWidth="1"/>
    <col min="6" max="9" width="13.7109375" customWidth="1"/>
  </cols>
  <sheetData>
    <row r="1" spans="1:9" ht="16.5" x14ac:dyDescent="0.25">
      <c r="A1" s="82" t="str">
        <f>'Table of Contents'!A1</f>
        <v>Expansion - Economic Evaluation Model 2022</v>
      </c>
      <c r="D1" s="63"/>
      <c r="E1" s="107"/>
    </row>
    <row r="3" spans="1:9" ht="15.75" x14ac:dyDescent="0.25">
      <c r="A3" s="8" t="s">
        <v>128</v>
      </c>
      <c r="B3" s="201" t="str">
        <f>'Engineering Inputs'!B1</f>
        <v>Mosley</v>
      </c>
      <c r="C3" s="9"/>
      <c r="D3" s="9"/>
      <c r="E3" s="320"/>
    </row>
    <row r="4" spans="1:9" ht="15.75" x14ac:dyDescent="0.25">
      <c r="A4" s="8"/>
      <c r="B4" s="89"/>
    </row>
    <row r="5" spans="1:9" x14ac:dyDescent="0.2">
      <c r="A5" s="90" t="s">
        <v>312</v>
      </c>
      <c r="B5" s="131" t="str">
        <f>'Engineering Inputs'!B2</f>
        <v>L</v>
      </c>
    </row>
    <row r="6" spans="1:9" ht="15.75" x14ac:dyDescent="0.25">
      <c r="A6" s="8"/>
      <c r="B6" s="89"/>
    </row>
    <row r="7" spans="1:9" ht="15.75" x14ac:dyDescent="0.25">
      <c r="A7" s="8"/>
      <c r="E7" s="89"/>
    </row>
    <row r="8" spans="1:9" ht="15.75" x14ac:dyDescent="0.25">
      <c r="A8" s="8" t="s">
        <v>214</v>
      </c>
      <c r="C8" s="49">
        <f>'Engineering Inputs'!B3</f>
        <v>2022</v>
      </c>
    </row>
    <row r="9" spans="1:9" ht="15" x14ac:dyDescent="0.25">
      <c r="A9" s="7"/>
    </row>
    <row r="10" spans="1:9" s="12" customFormat="1" ht="15.75" x14ac:dyDescent="0.25">
      <c r="A10" s="13" t="s">
        <v>24</v>
      </c>
    </row>
    <row r="12" spans="1:9" x14ac:dyDescent="0.2">
      <c r="A12" s="108" t="s">
        <v>229</v>
      </c>
    </row>
    <row r="13" spans="1:9" x14ac:dyDescent="0.2">
      <c r="F13" s="191" t="s">
        <v>238</v>
      </c>
      <c r="G13" s="152" t="s">
        <v>2</v>
      </c>
      <c r="H13" s="195"/>
      <c r="I13" s="192"/>
    </row>
    <row r="14" spans="1:9" x14ac:dyDescent="0.2">
      <c r="A14" s="12" t="s">
        <v>219</v>
      </c>
      <c r="B14" s="131" t="s">
        <v>327</v>
      </c>
      <c r="C14" s="131"/>
      <c r="D14" s="131"/>
      <c r="F14" s="193">
        <v>1820</v>
      </c>
      <c r="G14" s="154" t="s">
        <v>241</v>
      </c>
      <c r="H14" s="154"/>
      <c r="I14" s="153"/>
    </row>
    <row r="15" spans="1:9" x14ac:dyDescent="0.2">
      <c r="A15" t="s">
        <v>220</v>
      </c>
      <c r="B15" s="131" t="s">
        <v>328</v>
      </c>
      <c r="C15" s="65"/>
      <c r="D15" s="65"/>
      <c r="F15" s="193">
        <v>1830</v>
      </c>
      <c r="G15" s="157" t="s">
        <v>244</v>
      </c>
      <c r="H15" s="154"/>
      <c r="I15" s="153"/>
    </row>
    <row r="16" spans="1:9" x14ac:dyDescent="0.2">
      <c r="A16" t="s">
        <v>221</v>
      </c>
      <c r="B16" s="131" t="s">
        <v>329</v>
      </c>
      <c r="C16" s="65"/>
      <c r="D16" s="65"/>
      <c r="F16" s="193">
        <v>1835</v>
      </c>
      <c r="G16" s="157" t="s">
        <v>247</v>
      </c>
      <c r="H16" s="154"/>
      <c r="I16" s="153"/>
    </row>
    <row r="17" spans="1:9" x14ac:dyDescent="0.2">
      <c r="A17" t="s">
        <v>222</v>
      </c>
      <c r="B17" s="131" t="s">
        <v>330</v>
      </c>
      <c r="C17" s="65"/>
      <c r="D17" s="65"/>
      <c r="F17" s="193">
        <v>1840</v>
      </c>
      <c r="G17" s="157" t="s">
        <v>250</v>
      </c>
      <c r="H17" s="154"/>
      <c r="I17" s="153"/>
    </row>
    <row r="18" spans="1:9" x14ac:dyDescent="0.2">
      <c r="A18" t="s">
        <v>223</v>
      </c>
      <c r="B18" s="201" t="s">
        <v>331</v>
      </c>
      <c r="C18" s="9"/>
      <c r="D18" s="9"/>
      <c r="F18" s="193">
        <v>1845</v>
      </c>
      <c r="G18" s="157" t="s">
        <v>253</v>
      </c>
      <c r="H18" s="157"/>
      <c r="I18" s="158"/>
    </row>
    <row r="19" spans="1:9" x14ac:dyDescent="0.2">
      <c r="A19" t="s">
        <v>224</v>
      </c>
      <c r="B19" s="201" t="s">
        <v>332</v>
      </c>
      <c r="C19" s="9"/>
      <c r="D19" s="9"/>
      <c r="F19" s="193">
        <v>1850</v>
      </c>
      <c r="G19" s="157" t="s">
        <v>256</v>
      </c>
      <c r="H19" s="157"/>
      <c r="I19" s="158"/>
    </row>
    <row r="20" spans="1:9" x14ac:dyDescent="0.2">
      <c r="A20" t="s">
        <v>225</v>
      </c>
      <c r="B20" s="201" t="s">
        <v>333</v>
      </c>
      <c r="C20" s="9"/>
      <c r="D20" s="9"/>
      <c r="F20" s="193">
        <v>1855</v>
      </c>
      <c r="G20" s="157" t="s">
        <v>259</v>
      </c>
      <c r="H20" s="157"/>
      <c r="I20" s="158"/>
    </row>
    <row r="21" spans="1:9" x14ac:dyDescent="0.2">
      <c r="A21" t="s">
        <v>226</v>
      </c>
      <c r="B21" s="201" t="s">
        <v>334</v>
      </c>
      <c r="C21" s="9"/>
      <c r="D21" s="9"/>
      <c r="F21" s="193">
        <v>1860</v>
      </c>
      <c r="G21" s="157" t="s">
        <v>262</v>
      </c>
      <c r="H21" s="154"/>
      <c r="I21" s="153"/>
    </row>
    <row r="22" spans="1:9" x14ac:dyDescent="0.2">
      <c r="A22" t="s">
        <v>113</v>
      </c>
      <c r="B22" s="9"/>
      <c r="C22" s="9"/>
      <c r="D22" s="9"/>
      <c r="F22" s="194">
        <v>1865</v>
      </c>
      <c r="G22" s="159" t="s">
        <v>282</v>
      </c>
      <c r="H22" s="196"/>
      <c r="I22" s="160"/>
    </row>
    <row r="23" spans="1:9" x14ac:dyDescent="0.2">
      <c r="A23" s="12" t="s">
        <v>114</v>
      </c>
      <c r="B23" s="9"/>
      <c r="C23" s="9"/>
      <c r="D23" s="9"/>
    </row>
    <row r="24" spans="1:9" x14ac:dyDescent="0.2">
      <c r="A24" s="12"/>
    </row>
    <row r="25" spans="1:9" x14ac:dyDescent="0.2">
      <c r="A25" s="19"/>
    </row>
    <row r="26" spans="1:9" x14ac:dyDescent="0.2">
      <c r="A26" s="12" t="s">
        <v>296</v>
      </c>
      <c r="B26" s="131" t="s">
        <v>327</v>
      </c>
      <c r="C26" s="9"/>
      <c r="D26" s="9"/>
    </row>
    <row r="27" spans="1:9" x14ac:dyDescent="0.2">
      <c r="A27" s="12" t="s">
        <v>297</v>
      </c>
      <c r="B27" s="131" t="s">
        <v>328</v>
      </c>
      <c r="C27" s="9"/>
      <c r="D27" s="9"/>
    </row>
    <row r="28" spans="1:9" x14ac:dyDescent="0.2">
      <c r="A28" s="12" t="s">
        <v>298</v>
      </c>
      <c r="B28" s="131" t="s">
        <v>329</v>
      </c>
      <c r="C28" s="9"/>
      <c r="D28" s="9"/>
    </row>
    <row r="29" spans="1:9" x14ac:dyDescent="0.2">
      <c r="A29" s="12" t="s">
        <v>299</v>
      </c>
      <c r="B29" s="131" t="s">
        <v>330</v>
      </c>
      <c r="C29" s="9"/>
      <c r="D29" s="9"/>
    </row>
    <row r="30" spans="1:9" x14ac:dyDescent="0.2">
      <c r="A30" s="12" t="s">
        <v>300</v>
      </c>
      <c r="B30" s="201" t="s">
        <v>331</v>
      </c>
      <c r="C30" s="9"/>
      <c r="D30" s="9"/>
    </row>
    <row r="31" spans="1:9" x14ac:dyDescent="0.2">
      <c r="A31" s="12" t="s">
        <v>301</v>
      </c>
      <c r="B31" s="201" t="s">
        <v>332</v>
      </c>
      <c r="C31" s="9"/>
      <c r="D31" s="9"/>
    </row>
    <row r="32" spans="1:9" x14ac:dyDescent="0.2">
      <c r="A32" s="12" t="s">
        <v>302</v>
      </c>
      <c r="B32" s="201" t="s">
        <v>333</v>
      </c>
      <c r="C32" s="9"/>
      <c r="D32" s="9"/>
    </row>
    <row r="33" spans="1:4" x14ac:dyDescent="0.2">
      <c r="A33" s="12" t="s">
        <v>303</v>
      </c>
      <c r="B33" s="201" t="s">
        <v>334</v>
      </c>
      <c r="C33" s="9"/>
      <c r="D33" s="9"/>
    </row>
    <row r="34" spans="1:4" x14ac:dyDescent="0.2">
      <c r="A34" s="12" t="s">
        <v>304</v>
      </c>
      <c r="B34" s="9"/>
      <c r="C34" s="9"/>
      <c r="D34" s="9"/>
    </row>
    <row r="36" spans="1:4" x14ac:dyDescent="0.2">
      <c r="A36" t="s">
        <v>102</v>
      </c>
    </row>
    <row r="37" spans="1:4" x14ac:dyDescent="0.2">
      <c r="A37" t="s">
        <v>101</v>
      </c>
    </row>
    <row r="39" spans="1:4" x14ac:dyDescent="0.2">
      <c r="A39" s="108" t="s">
        <v>25</v>
      </c>
    </row>
    <row r="41" spans="1:4" x14ac:dyDescent="0.2">
      <c r="A41" t="s">
        <v>18</v>
      </c>
      <c r="B41" s="201" t="s">
        <v>315</v>
      </c>
      <c r="C41" s="201"/>
      <c r="D41" s="201"/>
    </row>
    <row r="42" spans="1:4" x14ac:dyDescent="0.2">
      <c r="A42" t="s">
        <v>19</v>
      </c>
      <c r="B42" s="201" t="s">
        <v>335</v>
      </c>
      <c r="C42" s="201"/>
      <c r="D42" s="201"/>
    </row>
    <row r="43" spans="1:4" x14ac:dyDescent="0.2">
      <c r="A43" t="s">
        <v>20</v>
      </c>
      <c r="B43" s="201" t="s">
        <v>336</v>
      </c>
      <c r="C43" s="201"/>
      <c r="D43" s="201"/>
    </row>
    <row r="44" spans="1:4" x14ac:dyDescent="0.2">
      <c r="A44" t="s">
        <v>21</v>
      </c>
      <c r="B44" s="201" t="s">
        <v>337</v>
      </c>
      <c r="C44" s="9"/>
      <c r="D44" s="9"/>
    </row>
    <row r="45" spans="1:4" x14ac:dyDescent="0.2">
      <c r="A45" t="s">
        <v>22</v>
      </c>
      <c r="B45" s="9"/>
      <c r="C45" s="9"/>
      <c r="D45" s="9"/>
    </row>
    <row r="46" spans="1:4" x14ac:dyDescent="0.2">
      <c r="A46" t="s">
        <v>23</v>
      </c>
      <c r="B46" s="9"/>
      <c r="C46" s="9"/>
      <c r="D46" s="9"/>
    </row>
    <row r="47" spans="1:4" x14ac:dyDescent="0.2">
      <c r="A47" t="s">
        <v>115</v>
      </c>
      <c r="B47" s="9"/>
      <c r="C47" s="9"/>
      <c r="D47" s="9"/>
    </row>
    <row r="48" spans="1:4" x14ac:dyDescent="0.2">
      <c r="A48" t="s">
        <v>116</v>
      </c>
      <c r="B48" s="9"/>
      <c r="C48" s="9"/>
      <c r="D48" s="9"/>
    </row>
    <row r="49" spans="1:5" x14ac:dyDescent="0.2">
      <c r="A49" t="s">
        <v>230</v>
      </c>
      <c r="B49" s="9"/>
      <c r="C49" s="9"/>
      <c r="D49" s="9"/>
    </row>
    <row r="50" spans="1:5" x14ac:dyDescent="0.2">
      <c r="A50" t="s">
        <v>231</v>
      </c>
      <c r="B50" s="9"/>
      <c r="C50" s="9"/>
      <c r="D50" s="9"/>
    </row>
    <row r="52" spans="1:5" ht="15.75" x14ac:dyDescent="0.25">
      <c r="A52" s="8" t="s">
        <v>36</v>
      </c>
    </row>
    <row r="54" spans="1:5" x14ac:dyDescent="0.2">
      <c r="B54" s="4" t="s">
        <v>28</v>
      </c>
      <c r="C54" s="4"/>
    </row>
    <row r="55" spans="1:5" x14ac:dyDescent="0.2">
      <c r="A55" s="20">
        <f>C8</f>
        <v>2022</v>
      </c>
      <c r="B55" s="10" t="s">
        <v>17</v>
      </c>
      <c r="C55" s="375" t="s">
        <v>26</v>
      </c>
      <c r="D55" s="375"/>
    </row>
    <row r="56" spans="1:5" x14ac:dyDescent="0.2">
      <c r="B56" s="14" t="s">
        <v>16</v>
      </c>
      <c r="C56" s="14" t="s">
        <v>13</v>
      </c>
      <c r="D56" s="14" t="s">
        <v>27</v>
      </c>
      <c r="E56" s="139"/>
    </row>
    <row r="57" spans="1:5" x14ac:dyDescent="0.2">
      <c r="A57" s="20" t="str">
        <f t="shared" ref="A57:A66" si="0">B41</f>
        <v>Residential</v>
      </c>
      <c r="B57" s="344">
        <v>24.72</v>
      </c>
      <c r="C57" s="345">
        <v>0</v>
      </c>
      <c r="D57" s="345">
        <v>0</v>
      </c>
      <c r="E57" t="s">
        <v>215</v>
      </c>
    </row>
    <row r="58" spans="1:5" x14ac:dyDescent="0.2">
      <c r="A58" s="20" t="str">
        <f t="shared" si="0"/>
        <v>General Service &lt; 50</v>
      </c>
      <c r="B58" s="344">
        <v>16.64</v>
      </c>
      <c r="C58" s="345">
        <v>1.67E-2</v>
      </c>
      <c r="D58" s="345">
        <v>0</v>
      </c>
    </row>
    <row r="59" spans="1:5" x14ac:dyDescent="0.2">
      <c r="A59" s="20" t="str">
        <f t="shared" si="0"/>
        <v>General Service &gt; 50</v>
      </c>
      <c r="B59" s="344">
        <v>38.07</v>
      </c>
      <c r="C59" s="345">
        <v>5.7434000000000003</v>
      </c>
      <c r="D59" s="345">
        <v>5.5598999999999998</v>
      </c>
    </row>
    <row r="60" spans="1:5" x14ac:dyDescent="0.2">
      <c r="A60" s="20" t="str">
        <f t="shared" si="0"/>
        <v xml:space="preserve">Unmetered Scattered Load </v>
      </c>
      <c r="B60" s="344">
        <v>4.79</v>
      </c>
      <c r="C60" s="345">
        <v>9.5999999999999992E-3</v>
      </c>
      <c r="D60" s="345">
        <v>0</v>
      </c>
    </row>
    <row r="61" spans="1:5" x14ac:dyDescent="0.2">
      <c r="A61" s="20">
        <f t="shared" si="0"/>
        <v>0</v>
      </c>
      <c r="B61" s="17"/>
      <c r="C61" s="16"/>
      <c r="D61" s="16"/>
    </row>
    <row r="62" spans="1:5" x14ac:dyDescent="0.2">
      <c r="A62" s="20">
        <f t="shared" si="0"/>
        <v>0</v>
      </c>
      <c r="B62" s="17"/>
      <c r="C62" s="16"/>
      <c r="D62" s="16"/>
    </row>
    <row r="63" spans="1:5" x14ac:dyDescent="0.2">
      <c r="A63" s="20">
        <f t="shared" si="0"/>
        <v>0</v>
      </c>
      <c r="B63" s="17"/>
      <c r="C63" s="16"/>
      <c r="D63" s="16"/>
    </row>
    <row r="64" spans="1:5" x14ac:dyDescent="0.2">
      <c r="A64" s="20">
        <f t="shared" si="0"/>
        <v>0</v>
      </c>
      <c r="B64" s="17"/>
      <c r="C64" s="16"/>
      <c r="D64" s="16"/>
    </row>
    <row r="65" spans="1:9" x14ac:dyDescent="0.2">
      <c r="A65" s="20">
        <f t="shared" si="0"/>
        <v>0</v>
      </c>
      <c r="B65" s="17"/>
      <c r="C65" s="16"/>
      <c r="D65" s="16"/>
    </row>
    <row r="66" spans="1:9" x14ac:dyDescent="0.2">
      <c r="A66" s="20">
        <f t="shared" si="0"/>
        <v>0</v>
      </c>
      <c r="B66" s="17"/>
      <c r="C66" s="16"/>
      <c r="D66" s="16"/>
    </row>
    <row r="67" spans="1:9" x14ac:dyDescent="0.2">
      <c r="B67" s="4" t="s">
        <v>28</v>
      </c>
      <c r="C67" s="4"/>
      <c r="G67" s="4"/>
    </row>
    <row r="68" spans="1:9" x14ac:dyDescent="0.2">
      <c r="A68" s="20">
        <f>A55+1</f>
        <v>2023</v>
      </c>
      <c r="B68" s="10" t="s">
        <v>17</v>
      </c>
      <c r="C68" s="375" t="s">
        <v>26</v>
      </c>
      <c r="D68" s="375"/>
      <c r="G68" s="4"/>
    </row>
    <row r="69" spans="1:9" x14ac:dyDescent="0.2">
      <c r="A69" s="20"/>
      <c r="B69" s="14" t="s">
        <v>16</v>
      </c>
      <c r="C69" s="14" t="s">
        <v>13</v>
      </c>
      <c r="D69" s="14" t="s">
        <v>27</v>
      </c>
      <c r="G69" s="4"/>
    </row>
    <row r="70" spans="1:9" x14ac:dyDescent="0.2">
      <c r="A70" s="20" t="str">
        <f t="shared" ref="A70:A79" si="1">A57</f>
        <v>Residential</v>
      </c>
      <c r="B70" s="346">
        <f>+B57*(1+$E$70)</f>
        <v>25.535759999999996</v>
      </c>
      <c r="C70" s="349">
        <f t="shared" ref="C70:D70" si="2">+C57*(1+$E$70)</f>
        <v>0</v>
      </c>
      <c r="D70" s="349">
        <f t="shared" si="2"/>
        <v>0</v>
      </c>
      <c r="E70" s="347">
        <v>3.3000000000000002E-2</v>
      </c>
      <c r="F70" s="348" t="s">
        <v>347</v>
      </c>
      <c r="G70" s="4"/>
      <c r="H70" s="25"/>
      <c r="I70" s="58"/>
    </row>
    <row r="71" spans="1:9" x14ac:dyDescent="0.2">
      <c r="A71" s="20" t="str">
        <f t="shared" si="1"/>
        <v>General Service &lt; 50</v>
      </c>
      <c r="B71" s="346">
        <f t="shared" ref="B71:D71" si="3">+B58*(1+$E$70)</f>
        <v>17.189119999999999</v>
      </c>
      <c r="C71" s="349">
        <f t="shared" si="3"/>
        <v>1.7251099999999998E-2</v>
      </c>
      <c r="D71" s="349">
        <f t="shared" si="3"/>
        <v>0</v>
      </c>
      <c r="E71" s="61"/>
      <c r="G71" s="4"/>
      <c r="H71" s="25"/>
      <c r="I71" s="58"/>
    </row>
    <row r="72" spans="1:9" x14ac:dyDescent="0.2">
      <c r="A72" s="20" t="str">
        <f t="shared" si="1"/>
        <v>General Service &gt; 50</v>
      </c>
      <c r="B72" s="346">
        <f t="shared" ref="B72:D72" si="4">+B59*(1+$E$70)</f>
        <v>39.326309999999999</v>
      </c>
      <c r="C72" s="349">
        <f t="shared" si="4"/>
        <v>5.9329321999999998</v>
      </c>
      <c r="D72" s="349">
        <f t="shared" si="4"/>
        <v>5.7433766999999998</v>
      </c>
      <c r="F72" s="61"/>
      <c r="G72" s="4"/>
      <c r="H72" s="25"/>
      <c r="I72" s="58"/>
    </row>
    <row r="73" spans="1:9" x14ac:dyDescent="0.2">
      <c r="A73" s="20" t="str">
        <f t="shared" si="1"/>
        <v xml:space="preserve">Unmetered Scattered Load </v>
      </c>
      <c r="B73" s="346">
        <f t="shared" ref="B73:D73" si="5">+B60*(1+$E$70)</f>
        <v>4.9480699999999995</v>
      </c>
      <c r="C73" s="349">
        <f t="shared" si="5"/>
        <v>9.9167999999999982E-3</v>
      </c>
      <c r="D73" s="349">
        <f t="shared" si="5"/>
        <v>0</v>
      </c>
      <c r="G73" s="4"/>
    </row>
    <row r="74" spans="1:9" x14ac:dyDescent="0.2">
      <c r="A74" s="20">
        <f t="shared" si="1"/>
        <v>0</v>
      </c>
      <c r="B74" s="17"/>
      <c r="C74" s="16"/>
      <c r="D74" s="16"/>
      <c r="G74" s="4"/>
    </row>
    <row r="75" spans="1:9" x14ac:dyDescent="0.2">
      <c r="A75" s="20">
        <f t="shared" si="1"/>
        <v>0</v>
      </c>
      <c r="B75" s="17"/>
      <c r="C75" s="16"/>
      <c r="D75" s="16"/>
      <c r="G75" s="4"/>
    </row>
    <row r="76" spans="1:9" x14ac:dyDescent="0.2">
      <c r="A76" s="20">
        <f t="shared" si="1"/>
        <v>0</v>
      </c>
      <c r="B76" s="17"/>
      <c r="C76" s="16"/>
      <c r="D76" s="16"/>
      <c r="G76" s="4"/>
    </row>
    <row r="77" spans="1:9" x14ac:dyDescent="0.2">
      <c r="A77" s="20">
        <f t="shared" si="1"/>
        <v>0</v>
      </c>
      <c r="B77" s="17"/>
      <c r="C77" s="16"/>
      <c r="D77" s="16"/>
      <c r="G77" s="4"/>
    </row>
    <row r="78" spans="1:9" x14ac:dyDescent="0.2">
      <c r="A78" s="20">
        <f t="shared" si="1"/>
        <v>0</v>
      </c>
      <c r="B78" s="17"/>
      <c r="C78" s="16"/>
      <c r="D78" s="16"/>
      <c r="G78" s="4"/>
    </row>
    <row r="79" spans="1:9" x14ac:dyDescent="0.2">
      <c r="A79" s="20">
        <f t="shared" si="1"/>
        <v>0</v>
      </c>
      <c r="B79" s="17"/>
      <c r="C79" s="16"/>
      <c r="D79" s="16"/>
      <c r="G79" s="4"/>
    </row>
    <row r="80" spans="1:9" x14ac:dyDescent="0.2">
      <c r="A80" s="20"/>
      <c r="B80" s="4" t="s">
        <v>28</v>
      </c>
      <c r="C80" s="4"/>
      <c r="G80" s="4"/>
    </row>
    <row r="81" spans="1:7" x14ac:dyDescent="0.2">
      <c r="A81" s="20">
        <f>A68+1</f>
        <v>2024</v>
      </c>
      <c r="B81" s="10" t="s">
        <v>17</v>
      </c>
      <c r="C81" s="375" t="s">
        <v>26</v>
      </c>
      <c r="D81" s="375"/>
      <c r="G81" s="4"/>
    </row>
    <row r="82" spans="1:7" x14ac:dyDescent="0.2">
      <c r="A82" s="20"/>
      <c r="B82" s="14" t="s">
        <v>16</v>
      </c>
      <c r="C82" s="14" t="s">
        <v>13</v>
      </c>
      <c r="D82" s="14" t="s">
        <v>27</v>
      </c>
      <c r="G82" s="4"/>
    </row>
    <row r="83" spans="1:7" x14ac:dyDescent="0.2">
      <c r="A83" s="20" t="str">
        <f t="shared" ref="A83:A92" si="6">A70</f>
        <v>Residential</v>
      </c>
      <c r="B83" s="346">
        <f>+B70*(1+$E$83)</f>
        <v>26.046475199999996</v>
      </c>
      <c r="C83" s="349">
        <f>+C70*(1+$E$83)</f>
        <v>0</v>
      </c>
      <c r="D83" s="349">
        <f>+D70*(1+$E$83)</f>
        <v>0</v>
      </c>
      <c r="E83" s="347">
        <v>0.02</v>
      </c>
      <c r="F83" s="348" t="s">
        <v>347</v>
      </c>
      <c r="G83" s="4"/>
    </row>
    <row r="84" spans="1:7" x14ac:dyDescent="0.2">
      <c r="A84" s="20" t="str">
        <f t="shared" si="6"/>
        <v>General Service &lt; 50</v>
      </c>
      <c r="B84" s="346">
        <f t="shared" ref="B84:D84" si="7">+B71*(1+$E$83)</f>
        <v>17.532902400000001</v>
      </c>
      <c r="C84" s="349">
        <f t="shared" si="7"/>
        <v>1.7596121999999999E-2</v>
      </c>
      <c r="D84" s="349">
        <f t="shared" si="7"/>
        <v>0</v>
      </c>
      <c r="G84" s="4"/>
    </row>
    <row r="85" spans="1:7" x14ac:dyDescent="0.2">
      <c r="A85" s="20" t="str">
        <f t="shared" si="6"/>
        <v>General Service &gt; 50</v>
      </c>
      <c r="B85" s="346">
        <f t="shared" ref="B85:D85" si="8">+B72*(1+$E$83)</f>
        <v>40.112836199999997</v>
      </c>
      <c r="C85" s="349">
        <f t="shared" si="8"/>
        <v>6.0515908439999997</v>
      </c>
      <c r="D85" s="349">
        <f t="shared" si="8"/>
        <v>5.8582442339999998</v>
      </c>
      <c r="G85" s="4"/>
    </row>
    <row r="86" spans="1:7" x14ac:dyDescent="0.2">
      <c r="A86" s="20" t="str">
        <f t="shared" si="6"/>
        <v xml:space="preserve">Unmetered Scattered Load </v>
      </c>
      <c r="B86" s="346">
        <f t="shared" ref="B86:D86" si="9">+B73*(1+$E$83)</f>
        <v>5.0470313999999998</v>
      </c>
      <c r="C86" s="349">
        <f t="shared" si="9"/>
        <v>1.0115135999999999E-2</v>
      </c>
      <c r="D86" s="349">
        <f t="shared" si="9"/>
        <v>0</v>
      </c>
      <c r="G86" s="4"/>
    </row>
    <row r="87" spans="1:7" x14ac:dyDescent="0.2">
      <c r="A87" s="20">
        <f t="shared" si="6"/>
        <v>0</v>
      </c>
      <c r="B87" s="17"/>
      <c r="C87" s="16"/>
      <c r="D87" s="16"/>
      <c r="G87" s="4"/>
    </row>
    <row r="88" spans="1:7" x14ac:dyDescent="0.2">
      <c r="A88" s="20">
        <f t="shared" si="6"/>
        <v>0</v>
      </c>
      <c r="B88" s="17"/>
      <c r="C88" s="16"/>
      <c r="D88" s="16"/>
      <c r="G88" s="4"/>
    </row>
    <row r="89" spans="1:7" x14ac:dyDescent="0.2">
      <c r="A89" s="20">
        <f t="shared" si="6"/>
        <v>0</v>
      </c>
      <c r="B89" s="17"/>
      <c r="C89" s="16"/>
      <c r="D89" s="16"/>
      <c r="G89" s="4"/>
    </row>
    <row r="90" spans="1:7" x14ac:dyDescent="0.2">
      <c r="A90" s="20">
        <f t="shared" si="6"/>
        <v>0</v>
      </c>
      <c r="B90" s="17"/>
      <c r="C90" s="16"/>
      <c r="D90" s="16"/>
      <c r="G90" s="4"/>
    </row>
    <row r="91" spans="1:7" x14ac:dyDescent="0.2">
      <c r="A91" s="20">
        <f t="shared" si="6"/>
        <v>0</v>
      </c>
      <c r="B91" s="17"/>
      <c r="C91" s="16"/>
      <c r="D91" s="16"/>
      <c r="G91" s="4"/>
    </row>
    <row r="92" spans="1:7" x14ac:dyDescent="0.2">
      <c r="A92" s="20">
        <f t="shared" si="6"/>
        <v>0</v>
      </c>
      <c r="B92" s="17"/>
      <c r="C92" s="16"/>
      <c r="D92" s="16"/>
      <c r="G92" s="4"/>
    </row>
    <row r="93" spans="1:7" x14ac:dyDescent="0.2">
      <c r="A93" s="20"/>
      <c r="B93" s="4" t="s">
        <v>28</v>
      </c>
      <c r="C93" s="4"/>
      <c r="G93" s="4"/>
    </row>
    <row r="94" spans="1:7" x14ac:dyDescent="0.2">
      <c r="A94" s="20">
        <f>A81+1</f>
        <v>2025</v>
      </c>
      <c r="B94" s="10" t="s">
        <v>17</v>
      </c>
      <c r="C94" s="375" t="s">
        <v>26</v>
      </c>
      <c r="D94" s="375"/>
      <c r="G94" s="4"/>
    </row>
    <row r="95" spans="1:7" x14ac:dyDescent="0.2">
      <c r="A95" s="20"/>
      <c r="B95" s="14" t="s">
        <v>16</v>
      </c>
      <c r="C95" s="14" t="s">
        <v>13</v>
      </c>
      <c r="D95" s="14" t="s">
        <v>27</v>
      </c>
      <c r="G95" s="4"/>
    </row>
    <row r="96" spans="1:7" x14ac:dyDescent="0.2">
      <c r="A96" s="20" t="str">
        <f t="shared" ref="A96:A105" si="10">A83</f>
        <v>Residential</v>
      </c>
      <c r="B96" s="346">
        <f>+B83*(1+$E$96)</f>
        <v>26.567404703999998</v>
      </c>
      <c r="C96" s="349">
        <f>+C83*(1+$E$96)</f>
        <v>0</v>
      </c>
      <c r="D96" s="349">
        <f>+D83*(1+$E$96)</f>
        <v>0</v>
      </c>
      <c r="E96" s="347">
        <v>0.02</v>
      </c>
      <c r="F96" s="348" t="s">
        <v>347</v>
      </c>
      <c r="G96" s="4"/>
    </row>
    <row r="97" spans="1:7" x14ac:dyDescent="0.2">
      <c r="A97" s="20" t="str">
        <f t="shared" si="10"/>
        <v>General Service &lt; 50</v>
      </c>
      <c r="B97" s="346">
        <f t="shared" ref="B97:D97" si="11">+B84*(1+$E$96)</f>
        <v>17.883560448000001</v>
      </c>
      <c r="C97" s="349">
        <f t="shared" si="11"/>
        <v>1.7948044439999998E-2</v>
      </c>
      <c r="D97" s="349">
        <f t="shared" si="11"/>
        <v>0</v>
      </c>
      <c r="G97" s="4"/>
    </row>
    <row r="98" spans="1:7" x14ac:dyDescent="0.2">
      <c r="A98" s="20" t="str">
        <f t="shared" si="10"/>
        <v>General Service &gt; 50</v>
      </c>
      <c r="B98" s="346">
        <f t="shared" ref="B98:D98" si="12">+B85*(1+$E$96)</f>
        <v>40.915092924</v>
      </c>
      <c r="C98" s="349">
        <f t="shared" si="12"/>
        <v>6.1726226608800001</v>
      </c>
      <c r="D98" s="349">
        <f t="shared" si="12"/>
        <v>5.97540911868</v>
      </c>
      <c r="G98" s="4"/>
    </row>
    <row r="99" spans="1:7" x14ac:dyDescent="0.2">
      <c r="A99" s="20" t="str">
        <f t="shared" si="10"/>
        <v xml:space="preserve">Unmetered Scattered Load </v>
      </c>
      <c r="B99" s="346">
        <f t="shared" ref="B99:D99" si="13">+B86*(1+$E$96)</f>
        <v>5.1479720279999999</v>
      </c>
      <c r="C99" s="349">
        <f t="shared" si="13"/>
        <v>1.0317438719999999E-2</v>
      </c>
      <c r="D99" s="349">
        <f t="shared" si="13"/>
        <v>0</v>
      </c>
      <c r="G99" s="4"/>
    </row>
    <row r="100" spans="1:7" x14ac:dyDescent="0.2">
      <c r="A100" s="20">
        <f t="shared" si="10"/>
        <v>0</v>
      </c>
      <c r="B100" s="17"/>
      <c r="C100" s="16"/>
      <c r="D100" s="16"/>
      <c r="G100" s="4"/>
    </row>
    <row r="101" spans="1:7" x14ac:dyDescent="0.2">
      <c r="A101" s="20">
        <f t="shared" si="10"/>
        <v>0</v>
      </c>
      <c r="B101" s="17"/>
      <c r="C101" s="16"/>
      <c r="D101" s="16"/>
      <c r="G101" s="4"/>
    </row>
    <row r="102" spans="1:7" x14ac:dyDescent="0.2">
      <c r="A102" s="20">
        <f t="shared" si="10"/>
        <v>0</v>
      </c>
      <c r="B102" s="17"/>
      <c r="C102" s="16"/>
      <c r="D102" s="16"/>
      <c r="G102" s="4"/>
    </row>
    <row r="103" spans="1:7" x14ac:dyDescent="0.2">
      <c r="A103" s="20">
        <f t="shared" si="10"/>
        <v>0</v>
      </c>
      <c r="B103" s="17"/>
      <c r="C103" s="16"/>
      <c r="D103" s="16"/>
      <c r="G103" s="4"/>
    </row>
    <row r="104" spans="1:7" x14ac:dyDescent="0.2">
      <c r="A104" s="20">
        <f t="shared" si="10"/>
        <v>0</v>
      </c>
      <c r="B104" s="17"/>
      <c r="C104" s="16"/>
      <c r="D104" s="16"/>
      <c r="G104" s="4"/>
    </row>
    <row r="105" spans="1:7" x14ac:dyDescent="0.2">
      <c r="A105" s="20">
        <f t="shared" si="10"/>
        <v>0</v>
      </c>
      <c r="B105" s="17"/>
      <c r="C105" s="16"/>
      <c r="D105" s="16"/>
      <c r="G105" s="4"/>
    </row>
    <row r="106" spans="1:7" x14ac:dyDescent="0.2">
      <c r="A106" s="20"/>
      <c r="B106" s="4" t="s">
        <v>28</v>
      </c>
      <c r="C106" s="4"/>
      <c r="G106" s="4"/>
    </row>
    <row r="107" spans="1:7" x14ac:dyDescent="0.2">
      <c r="A107" s="20">
        <f>A94+1</f>
        <v>2026</v>
      </c>
      <c r="B107" s="10" t="s">
        <v>17</v>
      </c>
      <c r="C107" s="375" t="s">
        <v>26</v>
      </c>
      <c r="D107" s="375"/>
      <c r="G107" s="4"/>
    </row>
    <row r="108" spans="1:7" x14ac:dyDescent="0.2">
      <c r="A108" s="20"/>
      <c r="B108" s="14" t="s">
        <v>16</v>
      </c>
      <c r="C108" s="14" t="s">
        <v>13</v>
      </c>
      <c r="D108" s="14" t="s">
        <v>27</v>
      </c>
      <c r="G108" s="4"/>
    </row>
    <row r="109" spans="1:7" x14ac:dyDescent="0.2">
      <c r="A109" s="20" t="str">
        <f t="shared" ref="A109:A118" si="14">A96</f>
        <v>Residential</v>
      </c>
      <c r="B109" s="346">
        <f>+B96*(1+$E$109)</f>
        <v>27.09875279808</v>
      </c>
      <c r="C109" s="349">
        <f>+C96*(1+$E$109)</f>
        <v>0</v>
      </c>
      <c r="D109" s="349">
        <f>+D96*(1+$E$109)</f>
        <v>0</v>
      </c>
      <c r="E109" s="347">
        <v>0.02</v>
      </c>
      <c r="F109" s="348" t="s">
        <v>347</v>
      </c>
      <c r="G109" s="4"/>
    </row>
    <row r="110" spans="1:7" x14ac:dyDescent="0.2">
      <c r="A110" s="20" t="str">
        <f t="shared" si="14"/>
        <v>General Service &lt; 50</v>
      </c>
      <c r="B110" s="346">
        <f t="shared" ref="B110:D110" si="15">+B97*(1+$E$109)</f>
        <v>18.24123165696</v>
      </c>
      <c r="C110" s="349">
        <f t="shared" si="15"/>
        <v>1.8307005328799999E-2</v>
      </c>
      <c r="D110" s="349">
        <f t="shared" si="15"/>
        <v>0</v>
      </c>
      <c r="G110" s="4"/>
    </row>
    <row r="111" spans="1:7" x14ac:dyDescent="0.2">
      <c r="A111" s="20" t="str">
        <f t="shared" si="14"/>
        <v>General Service &gt; 50</v>
      </c>
      <c r="B111" s="346">
        <f t="shared" ref="B111:D111" si="16">+B98*(1+$E$109)</f>
        <v>41.733394782479998</v>
      </c>
      <c r="C111" s="349">
        <f t="shared" si="16"/>
        <v>6.2960751140975999</v>
      </c>
      <c r="D111" s="349">
        <f t="shared" si="16"/>
        <v>6.0949173010536004</v>
      </c>
      <c r="G111" s="4"/>
    </row>
    <row r="112" spans="1:7" x14ac:dyDescent="0.2">
      <c r="A112" s="20" t="str">
        <f t="shared" si="14"/>
        <v xml:space="preserve">Unmetered Scattered Load </v>
      </c>
      <c r="B112" s="346">
        <f t="shared" ref="B112:D112" si="17">+B99*(1+$E$109)</f>
        <v>5.2509314685600001</v>
      </c>
      <c r="C112" s="349">
        <f t="shared" si="17"/>
        <v>1.05237874944E-2</v>
      </c>
      <c r="D112" s="349">
        <f t="shared" si="17"/>
        <v>0</v>
      </c>
      <c r="G112" s="4"/>
    </row>
    <row r="113" spans="1:7" x14ac:dyDescent="0.2">
      <c r="A113" s="20">
        <f t="shared" si="14"/>
        <v>0</v>
      </c>
      <c r="B113" s="346"/>
      <c r="C113" s="349"/>
      <c r="D113" s="349"/>
      <c r="G113" s="4"/>
    </row>
    <row r="114" spans="1:7" x14ac:dyDescent="0.2">
      <c r="A114" s="20">
        <f t="shared" si="14"/>
        <v>0</v>
      </c>
      <c r="B114" s="17"/>
      <c r="C114" s="16"/>
      <c r="D114" s="16"/>
      <c r="G114" s="4"/>
    </row>
    <row r="115" spans="1:7" x14ac:dyDescent="0.2">
      <c r="A115" s="20">
        <f t="shared" si="14"/>
        <v>0</v>
      </c>
      <c r="B115" s="17"/>
      <c r="C115" s="16"/>
      <c r="D115" s="16"/>
      <c r="G115" s="4"/>
    </row>
    <row r="116" spans="1:7" x14ac:dyDescent="0.2">
      <c r="A116" s="20">
        <f t="shared" si="14"/>
        <v>0</v>
      </c>
      <c r="B116" s="17"/>
      <c r="C116" s="16"/>
      <c r="D116" s="16"/>
      <c r="G116" s="4"/>
    </row>
    <row r="117" spans="1:7" x14ac:dyDescent="0.2">
      <c r="A117" s="20">
        <f t="shared" si="14"/>
        <v>0</v>
      </c>
      <c r="B117" s="17"/>
      <c r="C117" s="16"/>
      <c r="D117" s="16"/>
      <c r="G117" s="4"/>
    </row>
    <row r="118" spans="1:7" x14ac:dyDescent="0.2">
      <c r="A118" s="20">
        <f t="shared" si="14"/>
        <v>0</v>
      </c>
      <c r="B118" s="17"/>
      <c r="C118" s="16"/>
      <c r="D118" s="16"/>
      <c r="G118" s="4"/>
    </row>
    <row r="119" spans="1:7" x14ac:dyDescent="0.2">
      <c r="A119" s="20"/>
      <c r="B119" s="56"/>
      <c r="C119" s="25"/>
      <c r="D119" s="58"/>
      <c r="G119" s="4"/>
    </row>
    <row r="120" spans="1:7" x14ac:dyDescent="0.2">
      <c r="A120" s="11" t="s">
        <v>153</v>
      </c>
      <c r="B120" s="56"/>
      <c r="G120" s="4"/>
    </row>
    <row r="121" spans="1:7" x14ac:dyDescent="0.2">
      <c r="B121" s="56"/>
      <c r="G121" s="4"/>
    </row>
    <row r="122" spans="1:7" x14ac:dyDescent="0.2">
      <c r="B122" s="376" t="s">
        <v>29</v>
      </c>
      <c r="C122" s="376"/>
      <c r="D122" s="10"/>
      <c r="G122" s="4"/>
    </row>
    <row r="123" spans="1:7" x14ac:dyDescent="0.2">
      <c r="A123" s="20">
        <f>A55</f>
        <v>2022</v>
      </c>
      <c r="B123" s="375" t="s">
        <v>30</v>
      </c>
      <c r="C123" s="375"/>
      <c r="D123" s="10"/>
      <c r="G123" s="4"/>
    </row>
    <row r="124" spans="1:7" x14ac:dyDescent="0.2">
      <c r="B124" s="14" t="s">
        <v>31</v>
      </c>
      <c r="C124" s="14" t="s">
        <v>32</v>
      </c>
      <c r="D124" s="4"/>
      <c r="E124" s="4" t="s">
        <v>144</v>
      </c>
      <c r="G124" s="4"/>
    </row>
    <row r="125" spans="1:7" x14ac:dyDescent="0.2">
      <c r="A125" s="20" t="str">
        <f t="shared" ref="A125:A134" si="18">B41</f>
        <v>Residential</v>
      </c>
      <c r="B125" s="61">
        <f>Assumptions!J18</f>
        <v>620.5001651397771</v>
      </c>
      <c r="C125" s="57"/>
      <c r="D125" s="4"/>
      <c r="E125" s="103">
        <f>IF(B125&gt;0,B125/360,C125)</f>
        <v>1.7236115698327141</v>
      </c>
      <c r="G125" s="4"/>
    </row>
    <row r="126" spans="1:7" x14ac:dyDescent="0.2">
      <c r="A126" s="20" t="str">
        <f t="shared" si="18"/>
        <v>General Service &lt; 50</v>
      </c>
      <c r="B126" s="61">
        <f>Assumptions!J27</f>
        <v>1750.4804145559792</v>
      </c>
      <c r="C126" s="57"/>
      <c r="D126" s="4"/>
      <c r="E126" s="103">
        <f t="shared" ref="E126:E134" si="19">IF(B126&gt;0,B126/360,C126)</f>
        <v>4.8624455959888309</v>
      </c>
      <c r="G126" s="4"/>
    </row>
    <row r="127" spans="1:7" x14ac:dyDescent="0.2">
      <c r="A127" s="20" t="str">
        <f t="shared" si="18"/>
        <v>General Service &gt; 50</v>
      </c>
      <c r="B127" s="61">
        <f>Assumptions!J36</f>
        <v>46895.022696125852</v>
      </c>
      <c r="C127" s="57"/>
      <c r="D127" s="4"/>
      <c r="E127" s="103">
        <f t="shared" si="19"/>
        <v>130.26395193368293</v>
      </c>
      <c r="G127" s="4"/>
    </row>
    <row r="128" spans="1:7" x14ac:dyDescent="0.2">
      <c r="A128" s="20" t="str">
        <f t="shared" si="18"/>
        <v xml:space="preserve">Unmetered Scattered Load </v>
      </c>
      <c r="B128" s="61">
        <f>Assumptions!J45</f>
        <v>367.70915296860949</v>
      </c>
      <c r="C128" s="57"/>
      <c r="D128" s="4"/>
      <c r="E128" s="103">
        <f t="shared" si="19"/>
        <v>1.0214143138016931</v>
      </c>
      <c r="G128" s="4"/>
    </row>
    <row r="129" spans="1:7" x14ac:dyDescent="0.2">
      <c r="A129" s="20">
        <f t="shared" si="18"/>
        <v>0</v>
      </c>
      <c r="B129" s="57"/>
      <c r="C129" s="57"/>
      <c r="D129" s="4"/>
      <c r="E129" s="103">
        <f t="shared" si="19"/>
        <v>0</v>
      </c>
    </row>
    <row r="130" spans="1:7" x14ac:dyDescent="0.2">
      <c r="A130" s="20">
        <f t="shared" si="18"/>
        <v>0</v>
      </c>
      <c r="B130" s="57"/>
      <c r="C130" s="57"/>
      <c r="D130" s="4"/>
      <c r="E130" s="103">
        <f t="shared" si="19"/>
        <v>0</v>
      </c>
    </row>
    <row r="131" spans="1:7" x14ac:dyDescent="0.2">
      <c r="A131" s="20">
        <f t="shared" si="18"/>
        <v>0</v>
      </c>
      <c r="B131" s="57"/>
      <c r="C131" s="57"/>
      <c r="D131" s="4"/>
      <c r="E131" s="103">
        <f t="shared" si="19"/>
        <v>0</v>
      </c>
    </row>
    <row r="132" spans="1:7" x14ac:dyDescent="0.2">
      <c r="A132" s="20">
        <f t="shared" si="18"/>
        <v>0</v>
      </c>
      <c r="B132" s="57"/>
      <c r="C132" s="57"/>
      <c r="D132" s="4"/>
      <c r="E132" s="103">
        <f t="shared" si="19"/>
        <v>0</v>
      </c>
    </row>
    <row r="133" spans="1:7" x14ac:dyDescent="0.2">
      <c r="A133" s="20">
        <f t="shared" si="18"/>
        <v>0</v>
      </c>
      <c r="B133" s="57"/>
      <c r="C133" s="57"/>
      <c r="D133" s="4"/>
      <c r="E133" s="103">
        <f t="shared" si="19"/>
        <v>0</v>
      </c>
    </row>
    <row r="134" spans="1:7" x14ac:dyDescent="0.2">
      <c r="A134" s="20">
        <f t="shared" si="18"/>
        <v>0</v>
      </c>
      <c r="B134" s="57"/>
      <c r="C134" s="57"/>
      <c r="D134" s="4"/>
      <c r="E134" s="103">
        <f t="shared" si="19"/>
        <v>0</v>
      </c>
    </row>
    <row r="135" spans="1:7" x14ac:dyDescent="0.2">
      <c r="B135" s="376" t="s">
        <v>29</v>
      </c>
      <c r="C135" s="376"/>
      <c r="D135" s="10"/>
      <c r="G135" s="4"/>
    </row>
    <row r="136" spans="1:7" x14ac:dyDescent="0.2">
      <c r="A136" s="20">
        <f>A123+1</f>
        <v>2023</v>
      </c>
      <c r="B136" s="375" t="s">
        <v>30</v>
      </c>
      <c r="C136" s="375"/>
      <c r="D136" s="10"/>
      <c r="G136" s="4"/>
    </row>
    <row r="137" spans="1:7" x14ac:dyDescent="0.2">
      <c r="B137" s="14" t="s">
        <v>31</v>
      </c>
      <c r="C137" s="14" t="s">
        <v>32</v>
      </c>
      <c r="D137" s="4"/>
      <c r="E137" s="4" t="s">
        <v>144</v>
      </c>
    </row>
    <row r="138" spans="1:7" x14ac:dyDescent="0.2">
      <c r="A138" s="20" t="str">
        <f>A125</f>
        <v>Residential</v>
      </c>
      <c r="B138" s="61">
        <f>+B125</f>
        <v>620.5001651397771</v>
      </c>
      <c r="C138" s="57"/>
      <c r="D138" s="4"/>
      <c r="E138" s="103">
        <f>IF(B138&gt;0,B138/360,C138)</f>
        <v>1.7236115698327141</v>
      </c>
    </row>
    <row r="139" spans="1:7" x14ac:dyDescent="0.2">
      <c r="A139" s="20" t="str">
        <f t="shared" ref="A139:A147" si="20">A126</f>
        <v>General Service &lt; 50</v>
      </c>
      <c r="B139" s="61">
        <f>+B126</f>
        <v>1750.4804145559792</v>
      </c>
      <c r="C139" s="57"/>
      <c r="D139" s="4"/>
      <c r="E139" s="103">
        <f t="shared" ref="E139:E147" si="21">IF(B139&gt;0,B139/360,C139)</f>
        <v>4.8624455959888309</v>
      </c>
    </row>
    <row r="140" spans="1:7" x14ac:dyDescent="0.2">
      <c r="A140" s="20" t="str">
        <f t="shared" si="20"/>
        <v>General Service &gt; 50</v>
      </c>
      <c r="B140" s="61">
        <f>+B127</f>
        <v>46895.022696125852</v>
      </c>
      <c r="C140" s="57"/>
      <c r="D140" s="4"/>
      <c r="E140" s="103">
        <f t="shared" si="21"/>
        <v>130.26395193368293</v>
      </c>
    </row>
    <row r="141" spans="1:7" x14ac:dyDescent="0.2">
      <c r="A141" s="20" t="str">
        <f t="shared" si="20"/>
        <v xml:space="preserve">Unmetered Scattered Load </v>
      </c>
      <c r="B141" s="61">
        <f>+B128</f>
        <v>367.70915296860949</v>
      </c>
      <c r="C141" s="57"/>
      <c r="D141" s="4"/>
      <c r="E141" s="103">
        <f t="shared" si="21"/>
        <v>1.0214143138016931</v>
      </c>
    </row>
    <row r="142" spans="1:7" x14ac:dyDescent="0.2">
      <c r="A142" s="20">
        <f t="shared" si="20"/>
        <v>0</v>
      </c>
      <c r="B142" s="57"/>
      <c r="C142" s="57"/>
      <c r="D142" s="4"/>
      <c r="E142" s="103">
        <f t="shared" si="21"/>
        <v>0</v>
      </c>
    </row>
    <row r="143" spans="1:7" x14ac:dyDescent="0.2">
      <c r="A143" s="20">
        <f t="shared" si="20"/>
        <v>0</v>
      </c>
      <c r="B143" s="57"/>
      <c r="C143" s="57"/>
      <c r="D143" s="4"/>
      <c r="E143" s="103">
        <f t="shared" si="21"/>
        <v>0</v>
      </c>
    </row>
    <row r="144" spans="1:7" x14ac:dyDescent="0.2">
      <c r="A144" s="20">
        <f t="shared" si="20"/>
        <v>0</v>
      </c>
      <c r="B144" s="57"/>
      <c r="C144" s="57"/>
      <c r="D144" s="4"/>
      <c r="E144" s="103">
        <f t="shared" si="21"/>
        <v>0</v>
      </c>
    </row>
    <row r="145" spans="1:7" x14ac:dyDescent="0.2">
      <c r="A145" s="20">
        <f t="shared" si="20"/>
        <v>0</v>
      </c>
      <c r="B145" s="57"/>
      <c r="C145" s="57"/>
      <c r="D145" s="4"/>
      <c r="E145" s="103">
        <f t="shared" si="21"/>
        <v>0</v>
      </c>
    </row>
    <row r="146" spans="1:7" x14ac:dyDescent="0.2">
      <c r="A146" s="20">
        <f t="shared" si="20"/>
        <v>0</v>
      </c>
      <c r="B146" s="57"/>
      <c r="C146" s="57"/>
      <c r="D146" s="4"/>
      <c r="E146" s="103">
        <f t="shared" si="21"/>
        <v>0</v>
      </c>
    </row>
    <row r="147" spans="1:7" ht="14.25" customHeight="1" x14ac:dyDescent="0.2">
      <c r="A147" s="20">
        <f t="shared" si="20"/>
        <v>0</v>
      </c>
      <c r="B147" s="57"/>
      <c r="C147" s="57"/>
      <c r="D147" s="4"/>
      <c r="E147" s="103">
        <f t="shared" si="21"/>
        <v>0</v>
      </c>
    </row>
    <row r="148" spans="1:7" ht="14.25" customHeight="1" x14ac:dyDescent="0.2">
      <c r="B148" s="376" t="s">
        <v>29</v>
      </c>
      <c r="C148" s="376"/>
      <c r="D148" s="10"/>
      <c r="G148" s="4"/>
    </row>
    <row r="149" spans="1:7" ht="14.25" customHeight="1" x14ac:dyDescent="0.2">
      <c r="A149" s="20">
        <f>A136+1</f>
        <v>2024</v>
      </c>
      <c r="B149" s="375" t="s">
        <v>30</v>
      </c>
      <c r="C149" s="375"/>
      <c r="D149" s="10"/>
      <c r="G149" s="4"/>
    </row>
    <row r="150" spans="1:7" ht="14.25" customHeight="1" x14ac:dyDescent="0.2">
      <c r="B150" s="14" t="s">
        <v>31</v>
      </c>
      <c r="C150" s="14" t="s">
        <v>32</v>
      </c>
      <c r="D150" s="4"/>
      <c r="E150" s="4" t="s">
        <v>144</v>
      </c>
    </row>
    <row r="151" spans="1:7" ht="14.25" customHeight="1" x14ac:dyDescent="0.2">
      <c r="A151" s="20" t="str">
        <f>A138</f>
        <v>Residential</v>
      </c>
      <c r="B151" s="61">
        <f>B125</f>
        <v>620.5001651397771</v>
      </c>
      <c r="C151" s="57"/>
      <c r="D151" s="4"/>
      <c r="E151" s="103">
        <f>IF(B151&gt;0,B151/360,C151)</f>
        <v>1.7236115698327141</v>
      </c>
    </row>
    <row r="152" spans="1:7" ht="14.25" customHeight="1" x14ac:dyDescent="0.2">
      <c r="A152" s="20" t="str">
        <f t="shared" ref="A152:A160" si="22">A139</f>
        <v>General Service &lt; 50</v>
      </c>
      <c r="B152" s="61">
        <f>B126</f>
        <v>1750.4804145559792</v>
      </c>
      <c r="C152" s="57"/>
      <c r="D152" s="4"/>
      <c r="E152" s="103">
        <f t="shared" ref="E152:E160" si="23">IF(B152&gt;0,B152/360,C152)</f>
        <v>4.8624455959888309</v>
      </c>
    </row>
    <row r="153" spans="1:7" ht="14.25" customHeight="1" x14ac:dyDescent="0.2">
      <c r="A153" s="20" t="str">
        <f t="shared" si="22"/>
        <v>General Service &gt; 50</v>
      </c>
      <c r="B153" s="61">
        <f>B127</f>
        <v>46895.022696125852</v>
      </c>
      <c r="C153" s="57"/>
      <c r="D153" s="4"/>
      <c r="E153" s="103">
        <f t="shared" si="23"/>
        <v>130.26395193368293</v>
      </c>
    </row>
    <row r="154" spans="1:7" ht="14.25" customHeight="1" x14ac:dyDescent="0.2">
      <c r="A154" s="20" t="str">
        <f t="shared" si="22"/>
        <v xml:space="preserve">Unmetered Scattered Load </v>
      </c>
      <c r="B154" s="61">
        <f>B128</f>
        <v>367.70915296860949</v>
      </c>
      <c r="C154" s="57"/>
      <c r="D154" s="4"/>
      <c r="E154" s="103">
        <f t="shared" si="23"/>
        <v>1.0214143138016931</v>
      </c>
    </row>
    <row r="155" spans="1:7" ht="14.25" customHeight="1" x14ac:dyDescent="0.2">
      <c r="A155" s="20">
        <f t="shared" si="22"/>
        <v>0</v>
      </c>
      <c r="B155" s="57"/>
      <c r="C155" s="57"/>
      <c r="D155" s="4"/>
      <c r="E155" s="103">
        <f t="shared" si="23"/>
        <v>0</v>
      </c>
    </row>
    <row r="156" spans="1:7" ht="14.25" customHeight="1" x14ac:dyDescent="0.2">
      <c r="A156" s="20">
        <f t="shared" si="22"/>
        <v>0</v>
      </c>
      <c r="B156" s="57"/>
      <c r="C156" s="57"/>
      <c r="D156" s="4"/>
      <c r="E156" s="103">
        <f t="shared" si="23"/>
        <v>0</v>
      </c>
    </row>
    <row r="157" spans="1:7" ht="14.25" customHeight="1" x14ac:dyDescent="0.2">
      <c r="A157" s="20">
        <f t="shared" si="22"/>
        <v>0</v>
      </c>
      <c r="B157" s="57"/>
      <c r="C157" s="57"/>
      <c r="D157" s="4"/>
      <c r="E157" s="103">
        <f t="shared" si="23"/>
        <v>0</v>
      </c>
    </row>
    <row r="158" spans="1:7" ht="14.25" customHeight="1" x14ac:dyDescent="0.2">
      <c r="A158" s="20">
        <f t="shared" si="22"/>
        <v>0</v>
      </c>
      <c r="B158" s="57"/>
      <c r="C158" s="57"/>
      <c r="D158" s="4"/>
      <c r="E158" s="103">
        <f t="shared" si="23"/>
        <v>0</v>
      </c>
    </row>
    <row r="159" spans="1:7" ht="14.25" customHeight="1" x14ac:dyDescent="0.2">
      <c r="A159" s="20">
        <f t="shared" si="22"/>
        <v>0</v>
      </c>
      <c r="B159" s="57"/>
      <c r="C159" s="57"/>
      <c r="D159" s="4"/>
      <c r="E159" s="103">
        <f t="shared" si="23"/>
        <v>0</v>
      </c>
    </row>
    <row r="160" spans="1:7" ht="14.25" customHeight="1" x14ac:dyDescent="0.2">
      <c r="A160" s="20">
        <f t="shared" si="22"/>
        <v>0</v>
      </c>
      <c r="B160" s="57"/>
      <c r="C160" s="57"/>
      <c r="D160" s="4"/>
      <c r="E160" s="103">
        <f t="shared" si="23"/>
        <v>0</v>
      </c>
    </row>
    <row r="161" spans="1:7" ht="14.25" customHeight="1" x14ac:dyDescent="0.2">
      <c r="B161" s="376" t="s">
        <v>29</v>
      </c>
      <c r="C161" s="376"/>
      <c r="D161" s="10"/>
      <c r="G161" s="4"/>
    </row>
    <row r="162" spans="1:7" ht="14.25" customHeight="1" x14ac:dyDescent="0.2">
      <c r="A162" s="20">
        <f>A149+1</f>
        <v>2025</v>
      </c>
      <c r="B162" s="375" t="s">
        <v>30</v>
      </c>
      <c r="C162" s="375"/>
      <c r="D162" s="10"/>
      <c r="G162" s="4"/>
    </row>
    <row r="163" spans="1:7" ht="14.25" customHeight="1" x14ac:dyDescent="0.2">
      <c r="B163" s="14" t="s">
        <v>31</v>
      </c>
      <c r="C163" s="14" t="s">
        <v>32</v>
      </c>
      <c r="D163" s="4"/>
      <c r="E163" s="4" t="s">
        <v>144</v>
      </c>
    </row>
    <row r="164" spans="1:7" ht="14.25" customHeight="1" x14ac:dyDescent="0.2">
      <c r="A164" s="20" t="str">
        <f>A151</f>
        <v>Residential</v>
      </c>
      <c r="B164" s="61">
        <f>B125</f>
        <v>620.5001651397771</v>
      </c>
      <c r="C164" s="57"/>
      <c r="D164" s="4"/>
      <c r="E164" s="103">
        <f>IF(B164&gt;0,B164/360,C164)</f>
        <v>1.7236115698327141</v>
      </c>
    </row>
    <row r="165" spans="1:7" ht="14.25" customHeight="1" x14ac:dyDescent="0.2">
      <c r="A165" s="20" t="str">
        <f t="shared" ref="A165:A173" si="24">A152</f>
        <v>General Service &lt; 50</v>
      </c>
      <c r="B165" s="61">
        <f>B126</f>
        <v>1750.4804145559792</v>
      </c>
      <c r="C165" s="57"/>
      <c r="D165" s="4"/>
      <c r="E165" s="103">
        <f t="shared" ref="E165:E173" si="25">IF(B165&gt;0,B165/360,C165)</f>
        <v>4.8624455959888309</v>
      </c>
    </row>
    <row r="166" spans="1:7" ht="14.25" customHeight="1" x14ac:dyDescent="0.2">
      <c r="A166" s="20" t="str">
        <f t="shared" si="24"/>
        <v>General Service &gt; 50</v>
      </c>
      <c r="B166" s="61">
        <f>B127</f>
        <v>46895.022696125852</v>
      </c>
      <c r="C166" s="57"/>
      <c r="D166" s="4"/>
      <c r="E166" s="103">
        <f t="shared" si="25"/>
        <v>130.26395193368293</v>
      </c>
    </row>
    <row r="167" spans="1:7" ht="14.25" customHeight="1" x14ac:dyDescent="0.2">
      <c r="A167" s="20" t="str">
        <f t="shared" si="24"/>
        <v xml:space="preserve">Unmetered Scattered Load </v>
      </c>
      <c r="B167" s="61">
        <f>B128</f>
        <v>367.70915296860949</v>
      </c>
      <c r="C167" s="57"/>
      <c r="D167" s="4"/>
      <c r="E167" s="103">
        <f t="shared" si="25"/>
        <v>1.0214143138016931</v>
      </c>
    </row>
    <row r="168" spans="1:7" ht="14.25" customHeight="1" x14ac:dyDescent="0.2">
      <c r="A168" s="20">
        <f t="shared" si="24"/>
        <v>0</v>
      </c>
      <c r="B168" s="57"/>
      <c r="C168" s="57"/>
      <c r="D168" s="4"/>
      <c r="E168" s="103">
        <f t="shared" si="25"/>
        <v>0</v>
      </c>
    </row>
    <row r="169" spans="1:7" ht="14.25" customHeight="1" x14ac:dyDescent="0.2">
      <c r="A169" s="20">
        <f t="shared" si="24"/>
        <v>0</v>
      </c>
      <c r="B169" s="57"/>
      <c r="C169" s="57"/>
      <c r="D169" s="4"/>
      <c r="E169" s="103">
        <f t="shared" si="25"/>
        <v>0</v>
      </c>
    </row>
    <row r="170" spans="1:7" ht="14.25" customHeight="1" x14ac:dyDescent="0.2">
      <c r="A170" s="20">
        <f t="shared" si="24"/>
        <v>0</v>
      </c>
      <c r="B170" s="57"/>
      <c r="C170" s="57"/>
      <c r="D170" s="4"/>
      <c r="E170" s="103">
        <f t="shared" si="25"/>
        <v>0</v>
      </c>
    </row>
    <row r="171" spans="1:7" ht="14.25" customHeight="1" x14ac:dyDescent="0.2">
      <c r="A171" s="20">
        <f t="shared" si="24"/>
        <v>0</v>
      </c>
      <c r="B171" s="57"/>
      <c r="C171" s="57"/>
      <c r="D171" s="4"/>
      <c r="E171" s="103">
        <f t="shared" si="25"/>
        <v>0</v>
      </c>
    </row>
    <row r="172" spans="1:7" ht="14.25" customHeight="1" x14ac:dyDescent="0.2">
      <c r="A172" s="20">
        <f t="shared" si="24"/>
        <v>0</v>
      </c>
      <c r="B172" s="57"/>
      <c r="C172" s="57"/>
      <c r="D172" s="4"/>
      <c r="E172" s="103">
        <f t="shared" si="25"/>
        <v>0</v>
      </c>
    </row>
    <row r="173" spans="1:7" ht="14.25" customHeight="1" x14ac:dyDescent="0.2">
      <c r="A173" s="20">
        <f t="shared" si="24"/>
        <v>0</v>
      </c>
      <c r="B173" s="57"/>
      <c r="C173" s="57"/>
      <c r="D173" s="4"/>
      <c r="E173" s="103">
        <f t="shared" si="25"/>
        <v>0</v>
      </c>
    </row>
    <row r="174" spans="1:7" ht="14.25" customHeight="1" x14ac:dyDescent="0.2">
      <c r="B174" s="376" t="s">
        <v>29</v>
      </c>
      <c r="C174" s="376"/>
      <c r="D174" s="10"/>
      <c r="G174" s="4"/>
    </row>
    <row r="175" spans="1:7" ht="14.25" customHeight="1" x14ac:dyDescent="0.2">
      <c r="A175" s="20">
        <f>A162+1</f>
        <v>2026</v>
      </c>
      <c r="B175" s="375" t="s">
        <v>30</v>
      </c>
      <c r="C175" s="375"/>
      <c r="D175" s="10"/>
      <c r="G175" s="4"/>
    </row>
    <row r="176" spans="1:7" ht="14.25" customHeight="1" x14ac:dyDescent="0.2">
      <c r="B176" s="14" t="s">
        <v>31</v>
      </c>
      <c r="C176" s="14" t="s">
        <v>32</v>
      </c>
      <c r="D176" s="4"/>
      <c r="E176" s="4" t="s">
        <v>144</v>
      </c>
    </row>
    <row r="177" spans="1:9" ht="14.25" customHeight="1" x14ac:dyDescent="0.2">
      <c r="A177" s="20" t="str">
        <f>A164</f>
        <v>Residential</v>
      </c>
      <c r="B177" s="61">
        <f>B125</f>
        <v>620.5001651397771</v>
      </c>
      <c r="C177" s="57"/>
      <c r="D177" s="4"/>
      <c r="E177" s="103">
        <f>IF(B177&gt;0,B177/360,C177)</f>
        <v>1.7236115698327141</v>
      </c>
    </row>
    <row r="178" spans="1:9" ht="14.25" customHeight="1" x14ac:dyDescent="0.2">
      <c r="A178" s="20" t="str">
        <f t="shared" ref="A178:A186" si="26">A165</f>
        <v>General Service &lt; 50</v>
      </c>
      <c r="B178" s="61">
        <f>B126</f>
        <v>1750.4804145559792</v>
      </c>
      <c r="C178" s="57"/>
      <c r="D178" s="4"/>
      <c r="E178" s="103">
        <f t="shared" ref="E178:E186" si="27">IF(B178&gt;0,B178/360,C178)</f>
        <v>4.8624455959888309</v>
      </c>
    </row>
    <row r="179" spans="1:9" ht="14.25" customHeight="1" x14ac:dyDescent="0.2">
      <c r="A179" s="20" t="str">
        <f t="shared" si="26"/>
        <v>General Service &gt; 50</v>
      </c>
      <c r="B179" s="61">
        <f>B127</f>
        <v>46895.022696125852</v>
      </c>
      <c r="C179" s="57"/>
      <c r="D179" s="4"/>
      <c r="E179" s="103">
        <f t="shared" si="27"/>
        <v>130.26395193368293</v>
      </c>
    </row>
    <row r="180" spans="1:9" ht="14.25" customHeight="1" x14ac:dyDescent="0.2">
      <c r="A180" s="20" t="str">
        <f t="shared" si="26"/>
        <v xml:space="preserve">Unmetered Scattered Load </v>
      </c>
      <c r="B180" s="61">
        <f>B128</f>
        <v>367.70915296860949</v>
      </c>
      <c r="C180" s="57"/>
      <c r="D180" s="4"/>
      <c r="E180" s="103">
        <f t="shared" si="27"/>
        <v>1.0214143138016931</v>
      </c>
    </row>
    <row r="181" spans="1:9" ht="14.25" customHeight="1" x14ac:dyDescent="0.2">
      <c r="A181" s="20">
        <f t="shared" si="26"/>
        <v>0</v>
      </c>
      <c r="B181" s="57"/>
      <c r="C181" s="57"/>
      <c r="D181" s="4"/>
      <c r="E181" s="103">
        <f t="shared" si="27"/>
        <v>0</v>
      </c>
    </row>
    <row r="182" spans="1:9" ht="14.25" customHeight="1" x14ac:dyDescent="0.2">
      <c r="A182" s="20">
        <f t="shared" si="26"/>
        <v>0</v>
      </c>
      <c r="B182" s="57"/>
      <c r="C182" s="57"/>
      <c r="D182" s="4"/>
      <c r="E182" s="103">
        <f t="shared" si="27"/>
        <v>0</v>
      </c>
    </row>
    <row r="183" spans="1:9" ht="14.25" customHeight="1" x14ac:dyDescent="0.2">
      <c r="A183" s="20">
        <f t="shared" si="26"/>
        <v>0</v>
      </c>
      <c r="B183" s="57"/>
      <c r="C183" s="57"/>
      <c r="D183" s="4"/>
      <c r="E183" s="103">
        <f t="shared" si="27"/>
        <v>0</v>
      </c>
    </row>
    <row r="184" spans="1:9" ht="14.25" customHeight="1" x14ac:dyDescent="0.2">
      <c r="A184" s="20">
        <f t="shared" si="26"/>
        <v>0</v>
      </c>
      <c r="B184" s="57"/>
      <c r="C184" s="57"/>
      <c r="D184" s="4"/>
      <c r="E184" s="103">
        <f t="shared" si="27"/>
        <v>0</v>
      </c>
    </row>
    <row r="185" spans="1:9" ht="14.25" customHeight="1" x14ac:dyDescent="0.2">
      <c r="A185" s="20">
        <f t="shared" si="26"/>
        <v>0</v>
      </c>
      <c r="B185" s="57"/>
      <c r="C185" s="57"/>
      <c r="D185" s="4"/>
      <c r="E185" s="103">
        <f t="shared" si="27"/>
        <v>0</v>
      </c>
    </row>
    <row r="186" spans="1:9" ht="14.25" customHeight="1" x14ac:dyDescent="0.2">
      <c r="A186" s="20">
        <f t="shared" si="26"/>
        <v>0</v>
      </c>
      <c r="B186" s="57"/>
      <c r="C186" s="57"/>
      <c r="D186" s="4"/>
      <c r="E186" s="103">
        <f t="shared" si="27"/>
        <v>0</v>
      </c>
    </row>
    <row r="187" spans="1:9" ht="14.25" customHeight="1" x14ac:dyDescent="0.2">
      <c r="D187" s="4"/>
    </row>
    <row r="188" spans="1:9" x14ac:dyDescent="0.2">
      <c r="A188" s="11" t="s">
        <v>148</v>
      </c>
      <c r="D188" s="4"/>
    </row>
    <row r="189" spans="1:9" x14ac:dyDescent="0.2">
      <c r="B189" s="12"/>
    </row>
    <row r="190" spans="1:9" x14ac:dyDescent="0.2">
      <c r="B190" s="19">
        <f>C8</f>
        <v>2022</v>
      </c>
      <c r="C190" s="19">
        <f>B190+1</f>
        <v>2023</v>
      </c>
      <c r="D190" s="19">
        <f>C190+1</f>
        <v>2024</v>
      </c>
      <c r="E190" s="19">
        <f>D190+1</f>
        <v>2025</v>
      </c>
      <c r="F190" s="19">
        <f>E190+1</f>
        <v>2026</v>
      </c>
      <c r="G190" s="88" t="s">
        <v>35</v>
      </c>
    </row>
    <row r="191" spans="1:9" x14ac:dyDescent="0.2">
      <c r="A191" s="20" t="str">
        <f t="shared" ref="A191:A200" si="28">B41</f>
        <v>Residential</v>
      </c>
      <c r="B191">
        <f>'Engineering Inputs'!B6</f>
        <v>8</v>
      </c>
      <c r="C191">
        <f>'Engineering Inputs'!C6</f>
        <v>2</v>
      </c>
      <c r="D191">
        <f>'Engineering Inputs'!D6</f>
        <v>0</v>
      </c>
      <c r="E191">
        <f>'Engineering Inputs'!E6</f>
        <v>0</v>
      </c>
      <c r="F191">
        <f>'Engineering Inputs'!F6</f>
        <v>0</v>
      </c>
      <c r="G191">
        <f>SUM(B191:F191)</f>
        <v>10</v>
      </c>
      <c r="I191" s="12"/>
    </row>
    <row r="192" spans="1:9" x14ac:dyDescent="0.2">
      <c r="A192" s="20" t="str">
        <f t="shared" si="28"/>
        <v>General Service &lt; 50</v>
      </c>
      <c r="B192">
        <f>'Engineering Inputs'!B7</f>
        <v>0</v>
      </c>
      <c r="C192">
        <f>'Engineering Inputs'!C7</f>
        <v>0</v>
      </c>
      <c r="D192">
        <f>'Engineering Inputs'!D7</f>
        <v>0</v>
      </c>
      <c r="E192">
        <f>'Engineering Inputs'!E7</f>
        <v>0</v>
      </c>
      <c r="F192">
        <f>'Engineering Inputs'!F7</f>
        <v>0</v>
      </c>
      <c r="G192">
        <f t="shared" ref="G192:G201" si="29">SUM(B192:F192)</f>
        <v>0</v>
      </c>
    </row>
    <row r="193" spans="1:8" x14ac:dyDescent="0.2">
      <c r="A193" s="20" t="str">
        <f t="shared" si="28"/>
        <v>General Service &gt; 50</v>
      </c>
      <c r="B193">
        <f>'Engineering Inputs'!B8</f>
        <v>0</v>
      </c>
      <c r="C193">
        <f>'Engineering Inputs'!C8</f>
        <v>0</v>
      </c>
      <c r="D193">
        <f>'Engineering Inputs'!D8</f>
        <v>0</v>
      </c>
      <c r="E193">
        <f>'Engineering Inputs'!E8</f>
        <v>0</v>
      </c>
      <c r="F193">
        <f>'Engineering Inputs'!F8</f>
        <v>0</v>
      </c>
      <c r="G193">
        <f t="shared" si="29"/>
        <v>0</v>
      </c>
    </row>
    <row r="194" spans="1:8" x14ac:dyDescent="0.2">
      <c r="A194" s="20" t="str">
        <f t="shared" si="28"/>
        <v xml:space="preserve">Unmetered Scattered Load </v>
      </c>
      <c r="B194">
        <f>'Engineering Inputs'!B9</f>
        <v>0</v>
      </c>
      <c r="C194">
        <f>'Engineering Inputs'!C9</f>
        <v>0</v>
      </c>
      <c r="D194">
        <f>'Engineering Inputs'!D9</f>
        <v>0</v>
      </c>
      <c r="E194">
        <f>'Engineering Inputs'!E9</f>
        <v>0</v>
      </c>
      <c r="F194">
        <f>'Engineering Inputs'!F9</f>
        <v>0</v>
      </c>
      <c r="G194">
        <f t="shared" si="29"/>
        <v>0</v>
      </c>
    </row>
    <row r="195" spans="1:8" x14ac:dyDescent="0.2">
      <c r="A195" s="20">
        <f t="shared" si="28"/>
        <v>0</v>
      </c>
      <c r="G195">
        <f t="shared" si="29"/>
        <v>0</v>
      </c>
    </row>
    <row r="196" spans="1:8" x14ac:dyDescent="0.2">
      <c r="A196" s="20">
        <f t="shared" si="28"/>
        <v>0</v>
      </c>
      <c r="G196">
        <f t="shared" si="29"/>
        <v>0</v>
      </c>
    </row>
    <row r="197" spans="1:8" x14ac:dyDescent="0.2">
      <c r="A197" s="20">
        <f t="shared" si="28"/>
        <v>0</v>
      </c>
      <c r="G197">
        <f t="shared" si="29"/>
        <v>0</v>
      </c>
    </row>
    <row r="198" spans="1:8" x14ac:dyDescent="0.2">
      <c r="A198" s="20">
        <f t="shared" si="28"/>
        <v>0</v>
      </c>
      <c r="G198">
        <f t="shared" si="29"/>
        <v>0</v>
      </c>
    </row>
    <row r="199" spans="1:8" x14ac:dyDescent="0.2">
      <c r="A199" s="20">
        <f t="shared" si="28"/>
        <v>0</v>
      </c>
      <c r="G199">
        <f t="shared" si="29"/>
        <v>0</v>
      </c>
    </row>
    <row r="200" spans="1:8" x14ac:dyDescent="0.2">
      <c r="A200" s="20">
        <f t="shared" si="28"/>
        <v>0</v>
      </c>
      <c r="G200">
        <f t="shared" si="29"/>
        <v>0</v>
      </c>
    </row>
    <row r="201" spans="1:8" x14ac:dyDescent="0.2">
      <c r="A201" s="11" t="s">
        <v>35</v>
      </c>
      <c r="B201">
        <f>SUM(B191:B200)</f>
        <v>8</v>
      </c>
      <c r="C201">
        <f>SUM(C191:C200)</f>
        <v>2</v>
      </c>
      <c r="D201">
        <f>SUM(D191:D200)</f>
        <v>0</v>
      </c>
      <c r="E201">
        <f>SUM(E191:E200)</f>
        <v>0</v>
      </c>
      <c r="F201">
        <f>SUM(F191:F200)</f>
        <v>0</v>
      </c>
      <c r="G201">
        <f t="shared" si="29"/>
        <v>10</v>
      </c>
    </row>
    <row r="203" spans="1:8" ht="15.75" x14ac:dyDescent="0.25">
      <c r="A203" s="8" t="s">
        <v>37</v>
      </c>
    </row>
    <row r="204" spans="1:8" x14ac:dyDescent="0.2">
      <c r="A204" s="11" t="s">
        <v>108</v>
      </c>
      <c r="B204" s="19">
        <f>C8</f>
        <v>2022</v>
      </c>
      <c r="C204" s="19">
        <f>B204+1</f>
        <v>2023</v>
      </c>
      <c r="D204" s="19">
        <f>C204+1</f>
        <v>2024</v>
      </c>
      <c r="E204" s="19">
        <f>D204+1</f>
        <v>2025</v>
      </c>
      <c r="F204" s="19">
        <f>E204+1</f>
        <v>2026</v>
      </c>
      <c r="H204" s="11"/>
    </row>
    <row r="205" spans="1:8" x14ac:dyDescent="0.2">
      <c r="A205" s="20" t="str">
        <f t="shared" ref="A205:A214" si="30">B14</f>
        <v>1820 Distribution Station Equipment</v>
      </c>
      <c r="B205" s="25">
        <f>'Engineering Inputs'!B13</f>
        <v>0</v>
      </c>
      <c r="C205" s="25">
        <f>'Engineering Inputs'!C13</f>
        <v>0</v>
      </c>
      <c r="D205" s="25">
        <f>'Engineering Inputs'!D13</f>
        <v>0</v>
      </c>
      <c r="E205" s="25">
        <f>'Engineering Inputs'!E13</f>
        <v>0</v>
      </c>
      <c r="F205" s="25">
        <f>'Engineering Inputs'!F13</f>
        <v>0</v>
      </c>
      <c r="H205" s="12"/>
    </row>
    <row r="206" spans="1:8" x14ac:dyDescent="0.2">
      <c r="A206" s="20" t="str">
        <f t="shared" si="30"/>
        <v>1830 Poles, Towers &amp; Fixtures</v>
      </c>
      <c r="B206" s="25">
        <f>'Engineering Inputs'!B14</f>
        <v>0</v>
      </c>
      <c r="C206" s="25">
        <f>'Engineering Inputs'!C14</f>
        <v>0</v>
      </c>
      <c r="D206" s="25">
        <f>'Engineering Inputs'!D14</f>
        <v>0</v>
      </c>
      <c r="E206" s="25">
        <f>'Engineering Inputs'!E14</f>
        <v>0</v>
      </c>
      <c r="F206" s="25">
        <f>'Engineering Inputs'!F14</f>
        <v>0</v>
      </c>
    </row>
    <row r="207" spans="1:8" x14ac:dyDescent="0.2">
      <c r="A207" s="20" t="str">
        <f t="shared" si="30"/>
        <v>1835 Overhead Conductors &amp; Devices</v>
      </c>
      <c r="B207" s="25">
        <f>'Engineering Inputs'!B15</f>
        <v>0</v>
      </c>
      <c r="C207" s="25">
        <f>'Engineering Inputs'!C15</f>
        <v>0</v>
      </c>
      <c r="D207" s="25">
        <f>'Engineering Inputs'!D15</f>
        <v>0</v>
      </c>
      <c r="E207" s="25">
        <f>'Engineering Inputs'!E15</f>
        <v>0</v>
      </c>
      <c r="F207" s="25">
        <f>'Engineering Inputs'!F15</f>
        <v>0</v>
      </c>
    </row>
    <row r="208" spans="1:8" x14ac:dyDescent="0.2">
      <c r="A208" s="20" t="str">
        <f t="shared" si="30"/>
        <v>1840 Underground Conduit</v>
      </c>
      <c r="B208" s="25">
        <f>'Engineering Inputs'!B16</f>
        <v>0</v>
      </c>
      <c r="C208" s="25">
        <f>'Engineering Inputs'!C16</f>
        <v>0</v>
      </c>
      <c r="D208" s="25">
        <f>'Engineering Inputs'!D16</f>
        <v>0</v>
      </c>
      <c r="E208" s="25">
        <f>'Engineering Inputs'!E16</f>
        <v>0</v>
      </c>
      <c r="F208" s="25">
        <f>'Engineering Inputs'!F16</f>
        <v>0</v>
      </c>
    </row>
    <row r="209" spans="1:6" x14ac:dyDescent="0.2">
      <c r="A209" s="20" t="str">
        <f t="shared" si="30"/>
        <v>1845 Underground Conductors &amp; Devices</v>
      </c>
      <c r="B209" s="25">
        <f>'Engineering Inputs'!B17</f>
        <v>12218.77</v>
      </c>
      <c r="C209" s="25">
        <f>'Engineering Inputs'!C17</f>
        <v>0</v>
      </c>
      <c r="D209" s="25">
        <f>'Engineering Inputs'!D17</f>
        <v>0</v>
      </c>
      <c r="E209" s="25">
        <f>'Engineering Inputs'!E17</f>
        <v>0</v>
      </c>
      <c r="F209" s="25">
        <f>'Engineering Inputs'!F17</f>
        <v>0</v>
      </c>
    </row>
    <row r="210" spans="1:6" x14ac:dyDescent="0.2">
      <c r="A210" s="20" t="str">
        <f t="shared" si="30"/>
        <v>1850 Transformers</v>
      </c>
      <c r="B210" s="25">
        <f>'Engineering Inputs'!B18</f>
        <v>9478.81</v>
      </c>
      <c r="C210" s="25">
        <f>'Engineering Inputs'!C18</f>
        <v>0</v>
      </c>
      <c r="D210" s="25">
        <f>'Engineering Inputs'!D18</f>
        <v>0</v>
      </c>
      <c r="E210" s="25">
        <f>'Engineering Inputs'!E18</f>
        <v>0</v>
      </c>
      <c r="F210" s="25">
        <f>'Engineering Inputs'!F18</f>
        <v>0</v>
      </c>
    </row>
    <row r="211" spans="1:6" x14ac:dyDescent="0.2">
      <c r="A211" s="20" t="str">
        <f t="shared" si="30"/>
        <v>1855 Services</v>
      </c>
      <c r="B211" s="25">
        <f>'Engineering Inputs'!B19</f>
        <v>29633.81</v>
      </c>
      <c r="C211" s="25">
        <f>'Engineering Inputs'!C19</f>
        <v>0</v>
      </c>
      <c r="D211" s="25">
        <f>'Engineering Inputs'!D19</f>
        <v>0</v>
      </c>
      <c r="E211" s="25">
        <f>'Engineering Inputs'!E19</f>
        <v>0</v>
      </c>
      <c r="F211" s="25">
        <f>'Engineering Inputs'!F19</f>
        <v>0</v>
      </c>
    </row>
    <row r="212" spans="1:6" x14ac:dyDescent="0.2">
      <c r="A212" s="20" t="str">
        <f t="shared" si="30"/>
        <v>1860 Meters</v>
      </c>
      <c r="B212" s="25">
        <f>'Engineering Inputs'!B20</f>
        <v>0</v>
      </c>
      <c r="C212" s="25">
        <f>'Engineering Inputs'!C20</f>
        <v>0</v>
      </c>
      <c r="D212" s="25">
        <f>'Engineering Inputs'!D20</f>
        <v>0</v>
      </c>
      <c r="E212" s="25">
        <f>'Engineering Inputs'!E20</f>
        <v>0</v>
      </c>
      <c r="F212" s="25">
        <f>'Engineering Inputs'!F20</f>
        <v>0</v>
      </c>
    </row>
    <row r="213" spans="1:6" x14ac:dyDescent="0.2">
      <c r="A213" s="20">
        <f t="shared" si="30"/>
        <v>0</v>
      </c>
      <c r="B213" s="25">
        <f>'Engineering Inputs'!B21</f>
        <v>0</v>
      </c>
      <c r="C213" s="25">
        <f>'Engineering Inputs'!C21</f>
        <v>0</v>
      </c>
      <c r="D213" s="25">
        <f>'Engineering Inputs'!D21</f>
        <v>0</v>
      </c>
      <c r="E213" s="25">
        <f>'Engineering Inputs'!E21</f>
        <v>0</v>
      </c>
      <c r="F213" s="25">
        <f>'Engineering Inputs'!F21</f>
        <v>0</v>
      </c>
    </row>
    <row r="214" spans="1:6" x14ac:dyDescent="0.2">
      <c r="A214" s="20">
        <f t="shared" si="30"/>
        <v>0</v>
      </c>
      <c r="B214" s="25">
        <f>'Engineering Inputs'!B22</f>
        <v>0</v>
      </c>
      <c r="C214" s="25">
        <f>'Engineering Inputs'!C22</f>
        <v>0</v>
      </c>
      <c r="D214" s="25">
        <f>'Engineering Inputs'!D22</f>
        <v>0</v>
      </c>
      <c r="E214" s="25">
        <f>'Engineering Inputs'!E22</f>
        <v>0</v>
      </c>
      <c r="F214" s="25">
        <f>'Engineering Inputs'!F22</f>
        <v>0</v>
      </c>
    </row>
    <row r="215" spans="1:6" x14ac:dyDescent="0.2">
      <c r="A215" s="6" t="s">
        <v>65</v>
      </c>
      <c r="B215" s="25">
        <f>SUM(B205:B214)</f>
        <v>51331.39</v>
      </c>
      <c r="C215" s="25">
        <f>SUM(C205:C214)</f>
        <v>0</v>
      </c>
      <c r="D215" s="25">
        <f>SUM(D205:D214)</f>
        <v>0</v>
      </c>
      <c r="E215" s="25">
        <f>SUM(E205:E214)</f>
        <v>0</v>
      </c>
      <c r="F215" s="25">
        <f>SUM(F205:F214)</f>
        <v>0</v>
      </c>
    </row>
    <row r="216" spans="1:6" x14ac:dyDescent="0.2">
      <c r="A216" s="20"/>
      <c r="B216" s="18"/>
      <c r="C216" s="18"/>
      <c r="D216" s="18"/>
      <c r="E216" s="18"/>
      <c r="F216" s="18"/>
    </row>
    <row r="217" spans="1:6" x14ac:dyDescent="0.2">
      <c r="A217" s="6" t="s">
        <v>267</v>
      </c>
      <c r="B217" s="19">
        <f>E20</f>
        <v>0</v>
      </c>
      <c r="C217" s="19">
        <f>B217+1</f>
        <v>1</v>
      </c>
      <c r="D217" s="19">
        <f>C217+1</f>
        <v>2</v>
      </c>
      <c r="E217" s="19">
        <f>D217+1</f>
        <v>3</v>
      </c>
      <c r="F217" s="19">
        <f>E217+1</f>
        <v>4</v>
      </c>
    </row>
    <row r="218" spans="1:6" x14ac:dyDescent="0.2">
      <c r="A218" s="20" t="str">
        <f t="shared" ref="A218:A226" si="31">B26</f>
        <v>1820 Distribution Station Equipment</v>
      </c>
      <c r="B218" s="25">
        <f>'Engineering Inputs'!B26</f>
        <v>0</v>
      </c>
      <c r="C218" s="25">
        <f>'Engineering Inputs'!C26</f>
        <v>0</v>
      </c>
      <c r="D218" s="25">
        <f>'Engineering Inputs'!D26</f>
        <v>0</v>
      </c>
      <c r="E218" s="25">
        <f>'Engineering Inputs'!E26</f>
        <v>0</v>
      </c>
      <c r="F218" s="25">
        <f>'Engineering Inputs'!F26</f>
        <v>0</v>
      </c>
    </row>
    <row r="219" spans="1:6" x14ac:dyDescent="0.2">
      <c r="A219" s="20" t="str">
        <f t="shared" si="31"/>
        <v>1830 Poles, Towers &amp; Fixtures</v>
      </c>
      <c r="B219" s="25">
        <f>'Engineering Inputs'!B27</f>
        <v>0</v>
      </c>
      <c r="C219" s="25">
        <f>'Engineering Inputs'!C27</f>
        <v>0</v>
      </c>
      <c r="D219" s="25">
        <f>'Engineering Inputs'!D27</f>
        <v>0</v>
      </c>
      <c r="E219" s="25">
        <f>'Engineering Inputs'!E27</f>
        <v>0</v>
      </c>
      <c r="F219" s="25">
        <f>'Engineering Inputs'!F27</f>
        <v>0</v>
      </c>
    </row>
    <row r="220" spans="1:6" x14ac:dyDescent="0.2">
      <c r="A220" s="20" t="str">
        <f t="shared" si="31"/>
        <v>1835 Overhead Conductors &amp; Devices</v>
      </c>
      <c r="B220" s="25">
        <f>'Engineering Inputs'!B28</f>
        <v>0</v>
      </c>
      <c r="C220" s="25">
        <f>'Engineering Inputs'!C28</f>
        <v>0</v>
      </c>
      <c r="D220" s="25">
        <f>'Engineering Inputs'!D28</f>
        <v>0</v>
      </c>
      <c r="E220" s="25">
        <f>'Engineering Inputs'!E28</f>
        <v>0</v>
      </c>
      <c r="F220" s="25">
        <f>'Engineering Inputs'!F28</f>
        <v>0</v>
      </c>
    </row>
    <row r="221" spans="1:6" x14ac:dyDescent="0.2">
      <c r="A221" s="20" t="str">
        <f t="shared" si="31"/>
        <v>1840 Underground Conduit</v>
      </c>
      <c r="B221" s="25">
        <f>'Engineering Inputs'!B29</f>
        <v>0</v>
      </c>
      <c r="C221" s="25">
        <f>'Engineering Inputs'!C29</f>
        <v>0</v>
      </c>
      <c r="D221" s="25">
        <f>'Engineering Inputs'!D29</f>
        <v>0</v>
      </c>
      <c r="E221" s="25">
        <f>'Engineering Inputs'!E29</f>
        <v>0</v>
      </c>
      <c r="F221" s="25">
        <f>'Engineering Inputs'!F29</f>
        <v>0</v>
      </c>
    </row>
    <row r="222" spans="1:6" x14ac:dyDescent="0.2">
      <c r="A222" s="20" t="str">
        <f t="shared" si="31"/>
        <v>1845 Underground Conductors &amp; Devices</v>
      </c>
      <c r="B222" s="25">
        <f>'Engineering Inputs'!B30</f>
        <v>0</v>
      </c>
      <c r="C222" s="25">
        <f>'Engineering Inputs'!C30</f>
        <v>0</v>
      </c>
      <c r="D222" s="25">
        <f>'Engineering Inputs'!D30</f>
        <v>0</v>
      </c>
      <c r="E222" s="25">
        <f>'Engineering Inputs'!E30</f>
        <v>0</v>
      </c>
      <c r="F222" s="25">
        <f>'Engineering Inputs'!F30</f>
        <v>0</v>
      </c>
    </row>
    <row r="223" spans="1:6" x14ac:dyDescent="0.2">
      <c r="A223" s="20" t="str">
        <f t="shared" si="31"/>
        <v>1850 Transformers</v>
      </c>
      <c r="B223" s="25">
        <f>'Engineering Inputs'!B31</f>
        <v>0</v>
      </c>
      <c r="C223" s="25">
        <f>'Engineering Inputs'!C31</f>
        <v>0</v>
      </c>
      <c r="D223" s="25">
        <f>'Engineering Inputs'!D31</f>
        <v>0</v>
      </c>
      <c r="E223" s="25">
        <f>'Engineering Inputs'!E31</f>
        <v>0</v>
      </c>
      <c r="F223" s="25">
        <f>'Engineering Inputs'!F31</f>
        <v>0</v>
      </c>
    </row>
    <row r="224" spans="1:6" x14ac:dyDescent="0.2">
      <c r="A224" s="20" t="str">
        <f t="shared" si="31"/>
        <v>1855 Services</v>
      </c>
      <c r="B224" s="25">
        <f>'Engineering Inputs'!B32</f>
        <v>0</v>
      </c>
      <c r="C224" s="25">
        <f>'Engineering Inputs'!C32</f>
        <v>0</v>
      </c>
      <c r="D224" s="25">
        <f>'Engineering Inputs'!D32</f>
        <v>0</v>
      </c>
      <c r="E224" s="25">
        <f>'Engineering Inputs'!E32</f>
        <v>0</v>
      </c>
      <c r="F224" s="25">
        <f>'Engineering Inputs'!F32</f>
        <v>0</v>
      </c>
    </row>
    <row r="225" spans="1:9" x14ac:dyDescent="0.2">
      <c r="A225" s="20" t="str">
        <f t="shared" si="31"/>
        <v>1860 Meters</v>
      </c>
      <c r="B225" s="25">
        <f>'Engineering Inputs'!B33</f>
        <v>0</v>
      </c>
      <c r="C225" s="25">
        <f>'Engineering Inputs'!C33</f>
        <v>0</v>
      </c>
      <c r="D225" s="25">
        <f>'Engineering Inputs'!D33</f>
        <v>0</v>
      </c>
      <c r="E225" s="25">
        <f>'Engineering Inputs'!E33</f>
        <v>0</v>
      </c>
      <c r="F225" s="25">
        <f>'Engineering Inputs'!F33</f>
        <v>0</v>
      </c>
    </row>
    <row r="226" spans="1:9" x14ac:dyDescent="0.2">
      <c r="A226" s="20">
        <f t="shared" si="31"/>
        <v>0</v>
      </c>
      <c r="B226" s="25">
        <f>'Engineering Inputs'!B34</f>
        <v>0</v>
      </c>
      <c r="C226" s="25">
        <f>'Engineering Inputs'!C34</f>
        <v>0</v>
      </c>
      <c r="D226" s="25">
        <f>'Engineering Inputs'!D34</f>
        <v>0</v>
      </c>
      <c r="E226" s="25">
        <f>'Engineering Inputs'!E34</f>
        <v>0</v>
      </c>
      <c r="F226" s="25">
        <f>'Engineering Inputs'!F34</f>
        <v>0</v>
      </c>
    </row>
    <row r="227" spans="1:9" x14ac:dyDescent="0.2">
      <c r="A227" s="20">
        <f>B36</f>
        <v>0</v>
      </c>
      <c r="B227" s="25">
        <f>'Engineering Inputs'!B35</f>
        <v>0</v>
      </c>
      <c r="C227" s="25">
        <f>'Engineering Inputs'!C35</f>
        <v>0</v>
      </c>
      <c r="D227" s="25">
        <f>'Engineering Inputs'!D35</f>
        <v>0</v>
      </c>
      <c r="E227" s="25">
        <f>'Engineering Inputs'!E35</f>
        <v>0</v>
      </c>
      <c r="F227" s="25">
        <f>'Engineering Inputs'!F35</f>
        <v>0</v>
      </c>
    </row>
    <row r="228" spans="1:9" x14ac:dyDescent="0.2">
      <c r="A228" s="6" t="s">
        <v>268</v>
      </c>
      <c r="B228" s="25">
        <f>SUM(B218:B227)</f>
        <v>0</v>
      </c>
      <c r="C228" s="25">
        <f>SUM(C218:C227)</f>
        <v>0</v>
      </c>
      <c r="D228" s="25">
        <f>SUM(D218:D227)</f>
        <v>0</v>
      </c>
      <c r="E228" s="25">
        <f>SUM(E218:E227)</f>
        <v>0</v>
      </c>
      <c r="F228" s="25">
        <f>SUM(F218:F227)</f>
        <v>0</v>
      </c>
    </row>
    <row r="229" spans="1:9" x14ac:dyDescent="0.2">
      <c r="A229" s="20"/>
      <c r="B229" s="25"/>
      <c r="C229" s="25"/>
      <c r="D229" s="25"/>
      <c r="E229" s="25"/>
      <c r="F229" s="25"/>
    </row>
    <row r="230" spans="1:9" x14ac:dyDescent="0.2">
      <c r="A230" s="11" t="s">
        <v>93</v>
      </c>
      <c r="B230" s="25">
        <f>'Engineering Inputs'!B38</f>
        <v>0</v>
      </c>
      <c r="C230" s="25">
        <f>'Engineering Inputs'!C38</f>
        <v>0</v>
      </c>
      <c r="D230" s="25">
        <f>'Engineering Inputs'!D38</f>
        <v>0</v>
      </c>
      <c r="E230" s="25">
        <f>'Engineering Inputs'!E38</f>
        <v>0</v>
      </c>
      <c r="F230" s="25">
        <f>'Engineering Inputs'!F38</f>
        <v>0</v>
      </c>
    </row>
    <row r="231" spans="1:9" x14ac:dyDescent="0.2">
      <c r="A231" s="11" t="s">
        <v>35</v>
      </c>
      <c r="B231" s="25">
        <f>B215+B228+B230</f>
        <v>51331.39</v>
      </c>
      <c r="C231" s="25">
        <f>C215+C228+C230</f>
        <v>0</v>
      </c>
      <c r="D231" s="25">
        <f>D215+D228+D230</f>
        <v>0</v>
      </c>
      <c r="E231" s="25">
        <f>E215+E228+E230</f>
        <v>0</v>
      </c>
      <c r="F231" s="25">
        <f>F215+F228+F230</f>
        <v>0</v>
      </c>
    </row>
    <row r="232" spans="1:9" x14ac:dyDescent="0.2">
      <c r="I232" s="108"/>
    </row>
    <row r="233" spans="1:9" x14ac:dyDescent="0.2">
      <c r="A233" t="s">
        <v>94</v>
      </c>
      <c r="I233" s="121"/>
    </row>
    <row r="234" spans="1:9" x14ac:dyDescent="0.2">
      <c r="A234" t="s">
        <v>103</v>
      </c>
    </row>
    <row r="235" spans="1:9" x14ac:dyDescent="0.2">
      <c r="A235" t="s">
        <v>104</v>
      </c>
    </row>
    <row r="236" spans="1:9" x14ac:dyDescent="0.2">
      <c r="I236" s="108"/>
    </row>
    <row r="237" spans="1:9" x14ac:dyDescent="0.2">
      <c r="A237" s="11" t="s">
        <v>281</v>
      </c>
      <c r="B237" s="19">
        <f>C8</f>
        <v>2022</v>
      </c>
      <c r="C237" s="19">
        <f>B237+1</f>
        <v>2023</v>
      </c>
      <c r="D237" s="19">
        <f>C237+1</f>
        <v>2024</v>
      </c>
      <c r="E237" s="19">
        <f>D237+1</f>
        <v>2025</v>
      </c>
      <c r="F237" s="19">
        <f>E237+1</f>
        <v>2026</v>
      </c>
      <c r="I237" s="121"/>
    </row>
    <row r="238" spans="1:9" x14ac:dyDescent="0.2">
      <c r="A238" s="139" t="str">
        <f t="shared" ref="A238:A247" si="32">B41</f>
        <v>Residential</v>
      </c>
      <c r="B238" s="25">
        <f>Assumptions!G75</f>
        <v>253.88062209845071</v>
      </c>
      <c r="C238" s="25">
        <f t="shared" ref="C238:F241" si="33">+B238</f>
        <v>253.88062209845071</v>
      </c>
      <c r="D238" s="25">
        <f t="shared" si="33"/>
        <v>253.88062209845071</v>
      </c>
      <c r="E238" s="25">
        <f t="shared" si="33"/>
        <v>253.88062209845071</v>
      </c>
      <c r="F238" s="25">
        <f t="shared" si="33"/>
        <v>253.88062209845071</v>
      </c>
      <c r="G238" s="12"/>
      <c r="I238" s="12"/>
    </row>
    <row r="239" spans="1:9" x14ac:dyDescent="0.2">
      <c r="A239" s="139" t="str">
        <f t="shared" si="32"/>
        <v>General Service &lt; 50</v>
      </c>
      <c r="B239" s="25">
        <f>Assumptions!G84</f>
        <v>470.42519712310803</v>
      </c>
      <c r="C239" s="25">
        <f t="shared" si="33"/>
        <v>470.42519712310803</v>
      </c>
      <c r="D239" s="25">
        <f t="shared" si="33"/>
        <v>470.42519712310803</v>
      </c>
      <c r="E239" s="25">
        <f t="shared" si="33"/>
        <v>470.42519712310803</v>
      </c>
      <c r="F239" s="25">
        <f t="shared" si="33"/>
        <v>470.42519712310803</v>
      </c>
      <c r="G239" s="12"/>
      <c r="I239" s="12"/>
    </row>
    <row r="240" spans="1:9" x14ac:dyDescent="0.2">
      <c r="A240" s="139" t="str">
        <f t="shared" si="32"/>
        <v>General Service &gt; 50</v>
      </c>
      <c r="B240" s="25">
        <f>Assumptions!G93</f>
        <v>7187.0800126283693</v>
      </c>
      <c r="C240" s="25">
        <f t="shared" si="33"/>
        <v>7187.0800126283693</v>
      </c>
      <c r="D240" s="25">
        <f t="shared" si="33"/>
        <v>7187.0800126283693</v>
      </c>
      <c r="E240" s="25">
        <f t="shared" si="33"/>
        <v>7187.0800126283693</v>
      </c>
      <c r="F240" s="25">
        <f t="shared" si="33"/>
        <v>7187.0800126283693</v>
      </c>
      <c r="G240" s="12"/>
      <c r="I240" s="12"/>
    </row>
    <row r="241" spans="1:9" x14ac:dyDescent="0.2">
      <c r="A241" s="139" t="str">
        <f t="shared" si="32"/>
        <v xml:space="preserve">Unmetered Scattered Load </v>
      </c>
      <c r="B241" s="25">
        <f>Assumptions!G102</f>
        <v>86.735680507961163</v>
      </c>
      <c r="C241" s="25">
        <f t="shared" si="33"/>
        <v>86.735680507961163</v>
      </c>
      <c r="D241" s="25">
        <f t="shared" si="33"/>
        <v>86.735680507961163</v>
      </c>
      <c r="E241" s="25">
        <f t="shared" si="33"/>
        <v>86.735680507961163</v>
      </c>
      <c r="F241" s="25">
        <f t="shared" si="33"/>
        <v>86.735680507961163</v>
      </c>
      <c r="G241" s="12"/>
      <c r="I241" s="12"/>
    </row>
    <row r="242" spans="1:9" x14ac:dyDescent="0.2">
      <c r="A242" s="139">
        <f t="shared" si="32"/>
        <v>0</v>
      </c>
      <c r="B242" s="15"/>
      <c r="C242" s="15"/>
      <c r="D242" s="15"/>
      <c r="E242" s="15"/>
      <c r="F242" s="15"/>
      <c r="G242" s="12"/>
      <c r="I242" s="12"/>
    </row>
    <row r="243" spans="1:9" x14ac:dyDescent="0.2">
      <c r="A243" s="139">
        <f t="shared" si="32"/>
        <v>0</v>
      </c>
      <c r="B243" s="15"/>
      <c r="C243" s="15"/>
      <c r="D243" s="15"/>
      <c r="E243" s="15"/>
      <c r="F243" s="15"/>
      <c r="I243" s="12"/>
    </row>
    <row r="244" spans="1:9" x14ac:dyDescent="0.2">
      <c r="A244" s="139">
        <f t="shared" si="32"/>
        <v>0</v>
      </c>
      <c r="B244" s="15"/>
      <c r="C244" s="15"/>
      <c r="D244" s="15"/>
      <c r="E244" s="15"/>
      <c r="F244" s="15"/>
      <c r="I244" s="12"/>
    </row>
    <row r="245" spans="1:9" x14ac:dyDescent="0.2">
      <c r="A245" s="139">
        <f t="shared" si="32"/>
        <v>0</v>
      </c>
      <c r="B245" s="15"/>
      <c r="C245" s="15"/>
      <c r="D245" s="15"/>
      <c r="E245" s="15"/>
      <c r="F245" s="15"/>
      <c r="I245" s="11"/>
    </row>
    <row r="246" spans="1:9" x14ac:dyDescent="0.2">
      <c r="A246" s="139">
        <f t="shared" si="32"/>
        <v>0</v>
      </c>
      <c r="B246" s="15"/>
      <c r="C246" s="15"/>
      <c r="D246" s="15"/>
      <c r="E246" s="15"/>
      <c r="F246" s="15"/>
    </row>
    <row r="247" spans="1:9" x14ac:dyDescent="0.2">
      <c r="A247" s="139">
        <f t="shared" si="32"/>
        <v>0</v>
      </c>
      <c r="B247" s="15"/>
      <c r="C247" s="15"/>
      <c r="D247" s="15"/>
      <c r="E247" s="15"/>
      <c r="F247" s="15"/>
    </row>
    <row r="248" spans="1:9" x14ac:dyDescent="0.2">
      <c r="A248" s="11"/>
      <c r="B248" s="25"/>
      <c r="C248" s="25"/>
      <c r="D248" s="25"/>
      <c r="E248" s="25"/>
      <c r="F248" s="25"/>
    </row>
    <row r="249" spans="1:9" x14ac:dyDescent="0.2">
      <c r="A249" s="11"/>
      <c r="B249" s="25"/>
      <c r="C249" s="25"/>
      <c r="D249" s="25"/>
      <c r="E249" s="25"/>
      <c r="F249" s="25"/>
    </row>
    <row r="250" spans="1:9" x14ac:dyDescent="0.2">
      <c r="A250" s="11"/>
      <c r="B250" s="25"/>
      <c r="E250" s="121"/>
      <c r="F250" s="4"/>
      <c r="G250" s="4"/>
      <c r="H250" s="4"/>
      <c r="I250" s="4"/>
    </row>
    <row r="251" spans="1:9" ht="38.25" x14ac:dyDescent="0.2">
      <c r="A251" s="11" t="s">
        <v>38</v>
      </c>
      <c r="B251" s="149" t="s">
        <v>232</v>
      </c>
      <c r="C251" s="149" t="s">
        <v>233</v>
      </c>
      <c r="E251" s="121"/>
      <c r="F251" s="121"/>
    </row>
    <row r="252" spans="1:9" x14ac:dyDescent="0.2">
      <c r="A252" s="20" t="str">
        <f t="shared" ref="A252:A261" si="34">B14</f>
        <v>1820 Distribution Station Equipment</v>
      </c>
      <c r="B252" s="132">
        <v>2.5</v>
      </c>
      <c r="C252" s="132">
        <v>8</v>
      </c>
      <c r="D252" s="12"/>
      <c r="E252" s="369" t="s">
        <v>237</v>
      </c>
      <c r="F252" s="370"/>
    </row>
    <row r="253" spans="1:9" x14ac:dyDescent="0.2">
      <c r="A253" s="20" t="str">
        <f t="shared" si="34"/>
        <v>1830 Poles, Towers &amp; Fixtures</v>
      </c>
      <c r="B253" s="132">
        <v>2.2200000000000002</v>
      </c>
      <c r="C253" s="132">
        <v>8</v>
      </c>
      <c r="E253" s="371"/>
      <c r="F253" s="372"/>
    </row>
    <row r="254" spans="1:9" x14ac:dyDescent="0.2">
      <c r="A254" s="20" t="str">
        <f t="shared" si="34"/>
        <v>1835 Overhead Conductors &amp; Devices</v>
      </c>
      <c r="B254" s="132">
        <v>2.2200000000000002</v>
      </c>
      <c r="C254" s="132">
        <v>8</v>
      </c>
      <c r="E254" s="371"/>
      <c r="F254" s="372"/>
    </row>
    <row r="255" spans="1:9" x14ac:dyDescent="0.2">
      <c r="A255" s="20" t="str">
        <f t="shared" si="34"/>
        <v>1840 Underground Conduit</v>
      </c>
      <c r="B255" s="132">
        <v>2</v>
      </c>
      <c r="C255" s="132">
        <v>8</v>
      </c>
      <c r="E255" s="373"/>
      <c r="F255" s="374"/>
    </row>
    <row r="256" spans="1:9" x14ac:dyDescent="0.2">
      <c r="A256" s="20" t="str">
        <f t="shared" si="34"/>
        <v>1845 Underground Conductors &amp; Devices</v>
      </c>
      <c r="B256" s="132">
        <v>3.33</v>
      </c>
      <c r="C256" s="132">
        <v>8</v>
      </c>
      <c r="E256" s="177" t="s">
        <v>239</v>
      </c>
      <c r="F256" s="197" t="s">
        <v>240</v>
      </c>
    </row>
    <row r="257" spans="1:6" x14ac:dyDescent="0.2">
      <c r="A257" s="20" t="str">
        <f t="shared" si="34"/>
        <v>1850 Transformers</v>
      </c>
      <c r="B257" s="132">
        <v>3</v>
      </c>
      <c r="C257" s="132">
        <v>8</v>
      </c>
      <c r="E257" s="155">
        <f>100%/60</f>
        <v>1.6666666666666666E-2</v>
      </c>
      <c r="F257" s="198" t="s">
        <v>242</v>
      </c>
    </row>
    <row r="258" spans="1:6" x14ac:dyDescent="0.2">
      <c r="A258" s="20" t="str">
        <f t="shared" si="34"/>
        <v>1855 Services</v>
      </c>
      <c r="B258" s="132">
        <v>2.86</v>
      </c>
      <c r="C258" s="132">
        <v>8</v>
      </c>
      <c r="E258" s="156">
        <f>100%/50</f>
        <v>0.02</v>
      </c>
      <c r="F258" s="199" t="s">
        <v>245</v>
      </c>
    </row>
    <row r="259" spans="1:6" x14ac:dyDescent="0.2">
      <c r="A259" s="20" t="str">
        <f t="shared" si="34"/>
        <v>1860 Meters</v>
      </c>
      <c r="B259" s="132">
        <v>6.67</v>
      </c>
      <c r="C259" s="132">
        <v>8</v>
      </c>
      <c r="E259" s="156">
        <f>100%/40</f>
        <v>2.5000000000000001E-2</v>
      </c>
      <c r="F259" s="199" t="s">
        <v>248</v>
      </c>
    </row>
    <row r="260" spans="1:6" x14ac:dyDescent="0.2">
      <c r="A260" s="20">
        <f t="shared" si="34"/>
        <v>0</v>
      </c>
      <c r="B260" s="132"/>
      <c r="C260" s="132">
        <v>8</v>
      </c>
      <c r="E260" s="156">
        <f>100%/30</f>
        <v>3.3333333333333333E-2</v>
      </c>
      <c r="F260" s="199" t="s">
        <v>251</v>
      </c>
    </row>
    <row r="261" spans="1:6" x14ac:dyDescent="0.2">
      <c r="A261" s="20">
        <f t="shared" si="34"/>
        <v>0</v>
      </c>
      <c r="B261" s="132"/>
      <c r="C261" s="132">
        <v>8</v>
      </c>
      <c r="E261" s="156">
        <f>100%/25</f>
        <v>0.04</v>
      </c>
      <c r="F261" s="199" t="s">
        <v>254</v>
      </c>
    </row>
    <row r="262" spans="1:6" x14ac:dyDescent="0.2">
      <c r="A262" s="20"/>
      <c r="B262" s="163"/>
      <c r="C262" s="163"/>
      <c r="E262" s="156">
        <f>100%/20</f>
        <v>0.05</v>
      </c>
      <c r="F262" s="199" t="s">
        <v>257</v>
      </c>
    </row>
    <row r="263" spans="1:6" x14ac:dyDescent="0.2">
      <c r="A263" s="6" t="s">
        <v>305</v>
      </c>
      <c r="B263" s="163"/>
      <c r="C263" s="163"/>
      <c r="E263" s="156">
        <f>100%/15</f>
        <v>6.6666666666666666E-2</v>
      </c>
      <c r="F263" s="199" t="s">
        <v>260</v>
      </c>
    </row>
    <row r="264" spans="1:6" x14ac:dyDescent="0.2">
      <c r="A264" s="20" t="str">
        <f t="shared" ref="A264:A273" si="35">B26</f>
        <v>1820 Distribution Station Equipment</v>
      </c>
      <c r="B264" s="132">
        <v>2.5</v>
      </c>
      <c r="C264" s="132">
        <v>8</v>
      </c>
      <c r="E264" s="156">
        <f>100%/10</f>
        <v>0.1</v>
      </c>
      <c r="F264" s="199" t="s">
        <v>263</v>
      </c>
    </row>
    <row r="265" spans="1:6" x14ac:dyDescent="0.2">
      <c r="A265" s="20" t="str">
        <f t="shared" si="35"/>
        <v>1830 Poles, Towers &amp; Fixtures</v>
      </c>
      <c r="B265" s="132">
        <v>2.2200000000000002</v>
      </c>
      <c r="C265" s="132">
        <v>8</v>
      </c>
      <c r="E265" s="156">
        <f>100%/9</f>
        <v>0.1111111111111111</v>
      </c>
      <c r="F265" s="199" t="s">
        <v>243</v>
      </c>
    </row>
    <row r="266" spans="1:6" x14ac:dyDescent="0.2">
      <c r="A266" s="20" t="str">
        <f t="shared" si="35"/>
        <v>1835 Overhead Conductors &amp; Devices</v>
      </c>
      <c r="B266" s="132">
        <v>2.2200000000000002</v>
      </c>
      <c r="C266" s="132">
        <v>8</v>
      </c>
      <c r="E266" s="156">
        <f>100%/8</f>
        <v>0.125</v>
      </c>
      <c r="F266" s="199" t="s">
        <v>246</v>
      </c>
    </row>
    <row r="267" spans="1:6" x14ac:dyDescent="0.2">
      <c r="A267" s="20" t="str">
        <f t="shared" si="35"/>
        <v>1840 Underground Conduit</v>
      </c>
      <c r="B267" s="132">
        <v>2</v>
      </c>
      <c r="C267" s="132">
        <v>8</v>
      </c>
      <c r="E267" s="156">
        <f>100%/7</f>
        <v>0.14285714285714285</v>
      </c>
      <c r="F267" s="199" t="s">
        <v>249</v>
      </c>
    </row>
    <row r="268" spans="1:6" x14ac:dyDescent="0.2">
      <c r="A268" s="20" t="str">
        <f t="shared" si="35"/>
        <v>1845 Underground Conductors &amp; Devices</v>
      </c>
      <c r="B268" s="132">
        <v>3.33</v>
      </c>
      <c r="C268" s="132">
        <v>8</v>
      </c>
      <c r="E268" s="156">
        <f>100%/6</f>
        <v>0.16666666666666666</v>
      </c>
      <c r="F268" s="199" t="s">
        <v>252</v>
      </c>
    </row>
    <row r="269" spans="1:6" x14ac:dyDescent="0.2">
      <c r="A269" s="20" t="str">
        <f t="shared" si="35"/>
        <v>1850 Transformers</v>
      </c>
      <c r="B269" s="132">
        <v>3</v>
      </c>
      <c r="C269" s="132">
        <v>8</v>
      </c>
      <c r="E269" s="156">
        <f>100%/5</f>
        <v>0.2</v>
      </c>
      <c r="F269" s="199" t="s">
        <v>255</v>
      </c>
    </row>
    <row r="270" spans="1:6" x14ac:dyDescent="0.2">
      <c r="A270" s="20" t="str">
        <f t="shared" si="35"/>
        <v>1855 Services</v>
      </c>
      <c r="B270" s="132">
        <v>2.86</v>
      </c>
      <c r="C270" s="132">
        <v>8</v>
      </c>
      <c r="E270" s="156">
        <f>100%/4</f>
        <v>0.25</v>
      </c>
      <c r="F270" s="199" t="s">
        <v>258</v>
      </c>
    </row>
    <row r="271" spans="1:6" x14ac:dyDescent="0.2">
      <c r="A271" s="20" t="str">
        <f t="shared" si="35"/>
        <v>1860 Meters</v>
      </c>
      <c r="B271" s="132">
        <v>6.67</v>
      </c>
      <c r="C271" s="132">
        <v>8</v>
      </c>
      <c r="E271" s="156">
        <f>100%/3</f>
        <v>0.33333333333333331</v>
      </c>
      <c r="F271" s="199" t="s">
        <v>261</v>
      </c>
    </row>
    <row r="272" spans="1:6" x14ac:dyDescent="0.2">
      <c r="A272" s="20">
        <f t="shared" si="35"/>
        <v>0</v>
      </c>
      <c r="B272" s="132"/>
      <c r="C272" s="132">
        <v>8</v>
      </c>
      <c r="E272" s="156">
        <f>100%/2</f>
        <v>0.5</v>
      </c>
      <c r="F272" s="199" t="s">
        <v>264</v>
      </c>
    </row>
    <row r="273" spans="1:8" x14ac:dyDescent="0.2">
      <c r="A273" s="20">
        <f t="shared" si="35"/>
        <v>0</v>
      </c>
      <c r="B273" s="132"/>
      <c r="C273" s="132">
        <v>8</v>
      </c>
      <c r="E273" s="161">
        <f>100%/1</f>
        <v>1</v>
      </c>
      <c r="F273" s="200" t="s">
        <v>280</v>
      </c>
    </row>
    <row r="274" spans="1:8" x14ac:dyDescent="0.2">
      <c r="A274" s="20"/>
      <c r="B274" s="163"/>
      <c r="C274" s="163"/>
    </row>
    <row r="275" spans="1:8" x14ac:dyDescent="0.2">
      <c r="A275" s="11" t="s">
        <v>93</v>
      </c>
      <c r="B275" s="164">
        <v>0</v>
      </c>
      <c r="C275" s="164">
        <v>0</v>
      </c>
    </row>
    <row r="276" spans="1:8" x14ac:dyDescent="0.2">
      <c r="A276" t="s">
        <v>105</v>
      </c>
      <c r="C276" s="63"/>
      <c r="H276" s="133"/>
    </row>
    <row r="277" spans="1:8" x14ac:dyDescent="0.2">
      <c r="A277" t="s">
        <v>106</v>
      </c>
      <c r="C277" s="63"/>
      <c r="H277" s="116"/>
    </row>
    <row r="278" spans="1:8" x14ac:dyDescent="0.2">
      <c r="C278" s="63"/>
      <c r="H278" s="133"/>
    </row>
    <row r="279" spans="1:8" x14ac:dyDescent="0.2">
      <c r="C279" s="63"/>
    </row>
    <row r="280" spans="1:8" x14ac:dyDescent="0.2">
      <c r="B280" s="68">
        <f>B237</f>
        <v>2022</v>
      </c>
      <c r="C280" s="68">
        <f>C237</f>
        <v>2023</v>
      </c>
      <c r="D280" s="68">
        <f>D237</f>
        <v>2024</v>
      </c>
      <c r="E280" s="68">
        <f>E237</f>
        <v>2025</v>
      </c>
      <c r="F280" s="68">
        <f>F237</f>
        <v>2026</v>
      </c>
    </row>
    <row r="281" spans="1:8" x14ac:dyDescent="0.2">
      <c r="A281" s="117" t="s">
        <v>175</v>
      </c>
      <c r="B281" s="244">
        <v>56</v>
      </c>
      <c r="C281" s="245">
        <f>B281</f>
        <v>56</v>
      </c>
      <c r="D281" s="245">
        <f>C281</f>
        <v>56</v>
      </c>
      <c r="E281" s="245">
        <f>D281</f>
        <v>56</v>
      </c>
      <c r="F281" s="245">
        <f>E281</f>
        <v>56</v>
      </c>
      <c r="H281" s="12" t="s">
        <v>340</v>
      </c>
    </row>
    <row r="282" spans="1:8" x14ac:dyDescent="0.2">
      <c r="A282" s="117" t="s">
        <v>176</v>
      </c>
      <c r="B282" s="244">
        <v>4</v>
      </c>
      <c r="C282" s="245">
        <f t="shared" ref="C282:F285" si="36">B282</f>
        <v>4</v>
      </c>
      <c r="D282" s="245">
        <f t="shared" si="36"/>
        <v>4</v>
      </c>
      <c r="E282" s="245">
        <f t="shared" si="36"/>
        <v>4</v>
      </c>
      <c r="F282" s="245">
        <f t="shared" si="36"/>
        <v>4</v>
      </c>
    </row>
    <row r="283" spans="1:8" x14ac:dyDescent="0.2">
      <c r="A283" s="117" t="s">
        <v>177</v>
      </c>
      <c r="B283" s="244">
        <v>2.85</v>
      </c>
      <c r="C283" s="245">
        <f t="shared" si="36"/>
        <v>2.85</v>
      </c>
      <c r="D283" s="245">
        <f t="shared" si="36"/>
        <v>2.85</v>
      </c>
      <c r="E283" s="245">
        <f t="shared" si="36"/>
        <v>2.85</v>
      </c>
      <c r="F283" s="245">
        <f t="shared" si="36"/>
        <v>2.85</v>
      </c>
    </row>
    <row r="284" spans="1:8" x14ac:dyDescent="0.2">
      <c r="A284" s="117" t="s">
        <v>178</v>
      </c>
      <c r="B284" s="245">
        <v>1.75</v>
      </c>
      <c r="C284" s="245">
        <f t="shared" si="36"/>
        <v>1.75</v>
      </c>
      <c r="D284" s="245">
        <f t="shared" si="36"/>
        <v>1.75</v>
      </c>
      <c r="E284" s="245">
        <f t="shared" si="36"/>
        <v>1.75</v>
      </c>
      <c r="F284" s="245">
        <f t="shared" si="36"/>
        <v>1.75</v>
      </c>
    </row>
    <row r="285" spans="1:8" x14ac:dyDescent="0.2">
      <c r="A285" s="117" t="s">
        <v>40</v>
      </c>
      <c r="B285" s="245">
        <v>8.34</v>
      </c>
      <c r="C285" s="245">
        <f t="shared" si="36"/>
        <v>8.34</v>
      </c>
      <c r="D285" s="245">
        <f t="shared" si="36"/>
        <v>8.34</v>
      </c>
      <c r="E285" s="245">
        <f t="shared" si="36"/>
        <v>8.34</v>
      </c>
      <c r="F285" s="245">
        <f t="shared" si="36"/>
        <v>8.34</v>
      </c>
    </row>
    <row r="286" spans="1:8" x14ac:dyDescent="0.2">
      <c r="B286" s="116"/>
      <c r="C286" s="116"/>
      <c r="D286" s="116"/>
      <c r="E286" s="116"/>
      <c r="F286" s="116"/>
    </row>
    <row r="287" spans="1:8" x14ac:dyDescent="0.2">
      <c r="B287" s="116"/>
      <c r="C287" s="116"/>
      <c r="D287" s="116"/>
      <c r="E287" s="116"/>
      <c r="F287" s="116"/>
    </row>
    <row r="288" spans="1:8" x14ac:dyDescent="0.2">
      <c r="A288" s="117" t="s">
        <v>83</v>
      </c>
      <c r="B288" s="67"/>
      <c r="C288" s="67"/>
      <c r="D288" s="67"/>
      <c r="E288" s="67"/>
      <c r="F288" s="67"/>
    </row>
    <row r="289" spans="1:11" x14ac:dyDescent="0.2">
      <c r="B289" s="116"/>
      <c r="C289" s="116"/>
      <c r="D289" s="116"/>
      <c r="E289" s="116"/>
      <c r="F289" s="116"/>
    </row>
    <row r="290" spans="1:11" x14ac:dyDescent="0.2">
      <c r="A290" s="117" t="s">
        <v>42</v>
      </c>
      <c r="B290" s="321"/>
      <c r="C290" s="321"/>
      <c r="D290" s="321"/>
      <c r="E290" s="321"/>
      <c r="F290" s="321"/>
    </row>
    <row r="291" spans="1:11" x14ac:dyDescent="0.2">
      <c r="B291" s="247"/>
      <c r="C291" s="247"/>
      <c r="D291" s="247"/>
      <c r="E291" s="247"/>
      <c r="F291" s="247"/>
    </row>
    <row r="292" spans="1:11" x14ac:dyDescent="0.2">
      <c r="A292" s="117" t="s">
        <v>41</v>
      </c>
      <c r="B292" s="246">
        <v>26.5</v>
      </c>
      <c r="C292" s="246">
        <v>26.5</v>
      </c>
      <c r="D292" s="246">
        <v>26.5</v>
      </c>
      <c r="E292" s="246">
        <v>26.5</v>
      </c>
      <c r="F292" s="246">
        <v>26.5</v>
      </c>
    </row>
    <row r="295" spans="1:11" x14ac:dyDescent="0.2">
      <c r="A295" s="11" t="s">
        <v>216</v>
      </c>
    </row>
    <row r="296" spans="1:11" ht="26.25" x14ac:dyDescent="0.25">
      <c r="A296" s="151" t="s">
        <v>306</v>
      </c>
      <c r="B296" s="102" t="s">
        <v>140</v>
      </c>
      <c r="C296" s="108" t="s">
        <v>141</v>
      </c>
      <c r="D296" s="102" t="s">
        <v>142</v>
      </c>
      <c r="E296" s="112" t="s">
        <v>5</v>
      </c>
      <c r="F296" s="111" t="s">
        <v>146</v>
      </c>
      <c r="G296" s="111" t="s">
        <v>147</v>
      </c>
    </row>
    <row r="297" spans="1:11" x14ac:dyDescent="0.2">
      <c r="A297" t="str">
        <f t="shared" ref="A297:A306" si="37">B41</f>
        <v>Residential</v>
      </c>
      <c r="B297" s="103">
        <f t="shared" ref="B297:B306" si="38">E125</f>
        <v>1.7236115698327141</v>
      </c>
      <c r="C297">
        <f t="shared" ref="C297:C306" si="39">G191</f>
        <v>10</v>
      </c>
      <c r="D297" s="91">
        <f>C297*B297</f>
        <v>17.23611569832714</v>
      </c>
      <c r="E297" s="92">
        <f t="shared" ref="E297:E307" si="40">ROUND(D297/$D$307,4)</f>
        <v>1</v>
      </c>
      <c r="F297" s="248">
        <f>E297*$F$307</f>
        <v>14056.669316844105</v>
      </c>
      <c r="G297" s="248">
        <f>IF(F297=0,0,F297/C297)</f>
        <v>1405.6669316844104</v>
      </c>
      <c r="I297" s="350" t="s">
        <v>350</v>
      </c>
      <c r="J297" s="150"/>
      <c r="K297" s="150"/>
    </row>
    <row r="298" spans="1:11" x14ac:dyDescent="0.2">
      <c r="A298" t="str">
        <f t="shared" si="37"/>
        <v>General Service &lt; 50</v>
      </c>
      <c r="B298" s="103">
        <f t="shared" si="38"/>
        <v>4.8624455959888309</v>
      </c>
      <c r="C298">
        <f t="shared" si="39"/>
        <v>0</v>
      </c>
      <c r="D298" s="91">
        <f t="shared" ref="D298:D306" si="41">C298*B298</f>
        <v>0</v>
      </c>
      <c r="E298" s="92">
        <f t="shared" si="40"/>
        <v>0</v>
      </c>
      <c r="F298" s="248">
        <f t="shared" ref="F298:F306" si="42">E298*$F$307</f>
        <v>0</v>
      </c>
      <c r="G298" s="248">
        <f t="shared" ref="G298:G306" si="43">IF(F298=0,0,F298/C298)</f>
        <v>0</v>
      </c>
    </row>
    <row r="299" spans="1:11" x14ac:dyDescent="0.2">
      <c r="A299" t="str">
        <f t="shared" si="37"/>
        <v>General Service &gt; 50</v>
      </c>
      <c r="B299" s="103">
        <f t="shared" si="38"/>
        <v>130.26395193368293</v>
      </c>
      <c r="C299">
        <f t="shared" si="39"/>
        <v>0</v>
      </c>
      <c r="D299" s="91">
        <f t="shared" si="41"/>
        <v>0</v>
      </c>
      <c r="E299" s="92">
        <f t="shared" si="40"/>
        <v>0</v>
      </c>
      <c r="F299" s="248">
        <f t="shared" si="42"/>
        <v>0</v>
      </c>
      <c r="G299" s="248">
        <f t="shared" si="43"/>
        <v>0</v>
      </c>
    </row>
    <row r="300" spans="1:11" x14ac:dyDescent="0.2">
      <c r="A300" t="str">
        <f t="shared" si="37"/>
        <v xml:space="preserve">Unmetered Scattered Load </v>
      </c>
      <c r="B300" s="103">
        <f t="shared" si="38"/>
        <v>1.0214143138016931</v>
      </c>
      <c r="C300">
        <f t="shared" si="39"/>
        <v>0</v>
      </c>
      <c r="D300" s="91">
        <f t="shared" si="41"/>
        <v>0</v>
      </c>
      <c r="E300" s="92">
        <f t="shared" si="40"/>
        <v>0</v>
      </c>
      <c r="F300" s="248">
        <f t="shared" si="42"/>
        <v>0</v>
      </c>
      <c r="G300" s="248">
        <f t="shared" si="43"/>
        <v>0</v>
      </c>
    </row>
    <row r="301" spans="1:11" x14ac:dyDescent="0.2">
      <c r="A301">
        <f t="shared" si="37"/>
        <v>0</v>
      </c>
      <c r="B301" s="103">
        <f t="shared" si="38"/>
        <v>0</v>
      </c>
      <c r="C301">
        <f t="shared" si="39"/>
        <v>0</v>
      </c>
      <c r="D301" s="91">
        <f t="shared" si="41"/>
        <v>0</v>
      </c>
      <c r="E301" s="92">
        <f t="shared" si="40"/>
        <v>0</v>
      </c>
      <c r="F301" s="248">
        <f t="shared" si="42"/>
        <v>0</v>
      </c>
      <c r="G301" s="248">
        <f t="shared" si="43"/>
        <v>0</v>
      </c>
    </row>
    <row r="302" spans="1:11" x14ac:dyDescent="0.2">
      <c r="A302">
        <f t="shared" si="37"/>
        <v>0</v>
      </c>
      <c r="B302" s="103">
        <f t="shared" si="38"/>
        <v>0</v>
      </c>
      <c r="C302">
        <f t="shared" si="39"/>
        <v>0</v>
      </c>
      <c r="D302" s="91">
        <f t="shared" si="41"/>
        <v>0</v>
      </c>
      <c r="E302" s="92">
        <f t="shared" si="40"/>
        <v>0</v>
      </c>
      <c r="F302" s="248">
        <f t="shared" si="42"/>
        <v>0</v>
      </c>
      <c r="G302" s="248">
        <f t="shared" si="43"/>
        <v>0</v>
      </c>
    </row>
    <row r="303" spans="1:11" x14ac:dyDescent="0.2">
      <c r="A303">
        <f t="shared" si="37"/>
        <v>0</v>
      </c>
      <c r="B303" s="103">
        <f t="shared" si="38"/>
        <v>0</v>
      </c>
      <c r="C303">
        <f t="shared" si="39"/>
        <v>0</v>
      </c>
      <c r="D303" s="91">
        <f t="shared" si="41"/>
        <v>0</v>
      </c>
      <c r="E303" s="92">
        <f t="shared" si="40"/>
        <v>0</v>
      </c>
      <c r="F303" s="248">
        <f t="shared" si="42"/>
        <v>0</v>
      </c>
      <c r="G303" s="248">
        <f t="shared" si="43"/>
        <v>0</v>
      </c>
    </row>
    <row r="304" spans="1:11" x14ac:dyDescent="0.2">
      <c r="A304">
        <f t="shared" si="37"/>
        <v>0</v>
      </c>
      <c r="B304" s="103">
        <f t="shared" si="38"/>
        <v>0</v>
      </c>
      <c r="C304">
        <f t="shared" si="39"/>
        <v>0</v>
      </c>
      <c r="D304" s="91">
        <f t="shared" si="41"/>
        <v>0</v>
      </c>
      <c r="E304" s="92">
        <f t="shared" si="40"/>
        <v>0</v>
      </c>
      <c r="F304" s="248">
        <f t="shared" si="42"/>
        <v>0</v>
      </c>
      <c r="G304" s="248">
        <f t="shared" si="43"/>
        <v>0</v>
      </c>
    </row>
    <row r="305" spans="1:7" x14ac:dyDescent="0.2">
      <c r="A305">
        <f t="shared" si="37"/>
        <v>0</v>
      </c>
      <c r="B305" s="103">
        <f t="shared" si="38"/>
        <v>0</v>
      </c>
      <c r="C305">
        <f t="shared" si="39"/>
        <v>0</v>
      </c>
      <c r="D305" s="91">
        <f t="shared" si="41"/>
        <v>0</v>
      </c>
      <c r="E305" s="92">
        <f t="shared" si="40"/>
        <v>0</v>
      </c>
      <c r="F305" s="248">
        <f t="shared" si="42"/>
        <v>0</v>
      </c>
      <c r="G305" s="248">
        <f t="shared" si="43"/>
        <v>0</v>
      </c>
    </row>
    <row r="306" spans="1:7" x14ac:dyDescent="0.2">
      <c r="A306">
        <f t="shared" si="37"/>
        <v>0</v>
      </c>
      <c r="B306" s="103">
        <f t="shared" si="38"/>
        <v>0</v>
      </c>
      <c r="C306">
        <f t="shared" si="39"/>
        <v>0</v>
      </c>
      <c r="D306" s="91">
        <f t="shared" si="41"/>
        <v>0</v>
      </c>
      <c r="E306" s="92">
        <f t="shared" si="40"/>
        <v>0</v>
      </c>
      <c r="F306" s="248">
        <f t="shared" si="42"/>
        <v>0</v>
      </c>
      <c r="G306" s="248">
        <f t="shared" si="43"/>
        <v>0</v>
      </c>
    </row>
    <row r="307" spans="1:7" ht="13.5" thickBot="1" x14ac:dyDescent="0.25">
      <c r="B307" s="93">
        <f>SUM(B297:B306)</f>
        <v>137.87142341330619</v>
      </c>
      <c r="D307" s="94">
        <f>SUM(D297:D306)</f>
        <v>17.23611569832714</v>
      </c>
      <c r="E307" s="95">
        <f t="shared" si="40"/>
        <v>1</v>
      </c>
      <c r="F307" s="249">
        <f>'Project Summary'!D43</f>
        <v>14056.669316844105</v>
      </c>
      <c r="G307" s="78"/>
    </row>
    <row r="308" spans="1:7" ht="13.5" thickTop="1" x14ac:dyDescent="0.2"/>
  </sheetData>
  <mergeCells count="16">
    <mergeCell ref="E252:F255"/>
    <mergeCell ref="C55:D55"/>
    <mergeCell ref="B122:C122"/>
    <mergeCell ref="B123:C123"/>
    <mergeCell ref="C68:D68"/>
    <mergeCell ref="C81:D81"/>
    <mergeCell ref="C94:D94"/>
    <mergeCell ref="C107:D107"/>
    <mergeCell ref="B174:C174"/>
    <mergeCell ref="B175:C175"/>
    <mergeCell ref="B135:C135"/>
    <mergeCell ref="B136:C136"/>
    <mergeCell ref="B148:C148"/>
    <mergeCell ref="B149:C149"/>
    <mergeCell ref="B161:C161"/>
    <mergeCell ref="B162:C162"/>
  </mergeCells>
  <phoneticPr fontId="0" type="noConversion"/>
  <pageMargins left="0.75" right="0.5" top="0.6" bottom="0.48" header="0.4" footer="0.28000000000000003"/>
  <pageSetup scale="59" fitToHeight="0" orientation="portrait" draft="1" r:id="rId1"/>
  <headerFooter alignWithMargins="0"/>
  <rowBreaks count="1" manualBreakCount="1">
    <brk id="119"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4"/>
  <sheetViews>
    <sheetView zoomScaleNormal="100" workbookViewId="0">
      <selection activeCell="D15" sqref="D15"/>
    </sheetView>
  </sheetViews>
  <sheetFormatPr defaultRowHeight="12.75" x14ac:dyDescent="0.2"/>
  <cols>
    <col min="1" max="1" width="13.7109375" bestFit="1" customWidth="1"/>
    <col min="2" max="3" width="15.7109375" customWidth="1"/>
    <col min="4" max="5" width="5.7109375" customWidth="1"/>
    <col min="6" max="7" width="15.7109375" customWidth="1"/>
    <col min="8" max="9" width="5.7109375" customWidth="1"/>
    <col min="10" max="11" width="15.7109375" customWidth="1"/>
  </cols>
  <sheetData>
    <row r="1" spans="1:19" ht="30" x14ac:dyDescent="0.4">
      <c r="A1" s="377" t="str">
        <f>'Table of Contents'!A1</f>
        <v>Expansion - Economic Evaluation Model 2022</v>
      </c>
      <c r="B1" s="377"/>
      <c r="C1" s="377"/>
      <c r="D1" s="377"/>
      <c r="E1" s="377"/>
      <c r="F1" s="377"/>
      <c r="G1" s="377"/>
      <c r="H1" s="377"/>
      <c r="I1" s="377"/>
      <c r="J1" s="377"/>
      <c r="K1" s="377"/>
      <c r="M1" s="352" t="s">
        <v>352</v>
      </c>
      <c r="N1" s="352"/>
      <c r="O1" s="352"/>
      <c r="P1" s="353"/>
      <c r="Q1" s="353"/>
      <c r="R1" s="353"/>
      <c r="S1" s="353"/>
    </row>
    <row r="3" spans="1:19" ht="18" x14ac:dyDescent="0.25">
      <c r="A3" s="377" t="s">
        <v>156</v>
      </c>
      <c r="B3" s="377"/>
      <c r="C3" s="377"/>
      <c r="D3" s="377"/>
      <c r="E3" s="377"/>
      <c r="F3" s="377"/>
      <c r="G3" s="377"/>
      <c r="H3" s="377"/>
      <c r="I3" s="377"/>
      <c r="J3" s="377"/>
      <c r="K3" s="377"/>
      <c r="M3" s="12"/>
    </row>
    <row r="5" spans="1:19" ht="18" x14ac:dyDescent="0.25">
      <c r="A5" s="381" t="str">
        <f>+'Baseline Inputs'!B3</f>
        <v>Mosley</v>
      </c>
      <c r="B5" s="381"/>
      <c r="C5" s="381"/>
      <c r="D5" s="381"/>
      <c r="E5" s="381"/>
      <c r="F5" s="381"/>
      <c r="G5" s="381"/>
      <c r="H5" s="381"/>
      <c r="I5" s="381"/>
      <c r="J5" s="381"/>
      <c r="K5" s="381"/>
    </row>
    <row r="8" spans="1:19" ht="36.75" customHeight="1" x14ac:dyDescent="0.2">
      <c r="A8" s="134" t="s">
        <v>157</v>
      </c>
      <c r="B8" s="378" t="s">
        <v>313</v>
      </c>
      <c r="C8" s="378"/>
      <c r="D8" s="378"/>
      <c r="E8" s="378"/>
      <c r="F8" s="378"/>
      <c r="G8" s="378"/>
      <c r="H8" s="378"/>
      <c r="I8" s="378"/>
      <c r="J8" s="378"/>
      <c r="K8" s="378"/>
    </row>
    <row r="9" spans="1:19" x14ac:dyDescent="0.2">
      <c r="A9" s="135"/>
      <c r="B9" s="135"/>
      <c r="C9" s="135"/>
      <c r="D9" s="135"/>
      <c r="E9" s="135"/>
      <c r="F9" s="135"/>
      <c r="G9" s="135"/>
      <c r="H9" s="135"/>
      <c r="I9" s="135"/>
      <c r="J9" s="135"/>
      <c r="K9" s="135"/>
    </row>
    <row r="10" spans="1:19" ht="18" hidden="1" x14ac:dyDescent="0.25">
      <c r="A10" s="135"/>
      <c r="B10" s="341" t="s">
        <v>344</v>
      </c>
      <c r="C10" s="136"/>
      <c r="D10" s="136"/>
      <c r="E10" s="136"/>
      <c r="F10" s="136"/>
      <c r="G10" s="136"/>
      <c r="H10" s="136"/>
      <c r="I10" s="136"/>
      <c r="J10" s="136"/>
      <c r="K10" s="211">
        <f>'Project Summary'!D41</f>
        <v>14056.669316844105</v>
      </c>
    </row>
    <row r="11" spans="1:19" ht="18" x14ac:dyDescent="0.25">
      <c r="A11" s="135"/>
      <c r="B11" s="341" t="s">
        <v>345</v>
      </c>
      <c r="C11" s="136"/>
      <c r="D11" s="136"/>
      <c r="E11" s="136"/>
      <c r="F11" s="136"/>
      <c r="G11" s="136"/>
      <c r="H11" s="136"/>
      <c r="I11" s="136"/>
      <c r="J11" s="136"/>
      <c r="K11" s="342">
        <f>'Engineering Inputs'!B40-'Developer Summary'!K23</f>
        <v>14056.669316844105</v>
      </c>
    </row>
    <row r="12" spans="1:19" ht="15" x14ac:dyDescent="0.2">
      <c r="A12" s="135"/>
      <c r="B12" s="135"/>
      <c r="C12" s="135"/>
      <c r="D12" s="135"/>
      <c r="E12" s="135"/>
      <c r="F12" s="135"/>
      <c r="G12" s="135"/>
      <c r="H12" s="135"/>
      <c r="I12" s="135"/>
      <c r="J12" s="135"/>
      <c r="K12" s="212"/>
    </row>
    <row r="13" spans="1:19" ht="18" x14ac:dyDescent="0.25">
      <c r="A13" s="135"/>
      <c r="B13" s="343" t="s">
        <v>346</v>
      </c>
      <c r="C13" s="135"/>
      <c r="D13" s="135"/>
      <c r="E13" s="135"/>
      <c r="F13" s="135"/>
      <c r="G13" s="135"/>
      <c r="H13" s="135"/>
      <c r="I13" s="135"/>
      <c r="J13" s="135"/>
      <c r="K13" s="213">
        <f>IF('Baseline Inputs'!B5="D",0.1*K11,0)</f>
        <v>0</v>
      </c>
    </row>
    <row r="14" spans="1:19" ht="15" x14ac:dyDescent="0.2">
      <c r="A14" s="135"/>
      <c r="B14" s="135"/>
      <c r="C14" s="135"/>
      <c r="D14" s="135"/>
      <c r="E14" s="135"/>
      <c r="F14" s="135"/>
      <c r="G14" s="135"/>
      <c r="H14" s="135"/>
      <c r="I14" s="135"/>
      <c r="J14" s="135"/>
      <c r="K14" s="212"/>
    </row>
    <row r="15" spans="1:19" ht="18" x14ac:dyDescent="0.25">
      <c r="A15" s="135"/>
      <c r="B15" s="138" t="s">
        <v>139</v>
      </c>
      <c r="C15" s="135"/>
      <c r="D15" s="135"/>
      <c r="E15" s="135"/>
      <c r="F15" s="135"/>
      <c r="G15" s="135"/>
      <c r="H15" s="135"/>
      <c r="I15" s="135"/>
      <c r="J15" s="135"/>
      <c r="K15" s="214">
        <f>K10-K13</f>
        <v>14056.669316844105</v>
      </c>
    </row>
    <row r="16" spans="1:19" ht="15" x14ac:dyDescent="0.2">
      <c r="A16" s="135"/>
      <c r="B16" s="135"/>
      <c r="C16" s="135"/>
      <c r="D16" s="135"/>
      <c r="E16" s="135"/>
      <c r="F16" s="135"/>
      <c r="G16" s="135"/>
      <c r="H16" s="135"/>
      <c r="I16" s="135"/>
      <c r="J16" s="135"/>
      <c r="K16" s="137"/>
    </row>
    <row r="17" spans="1:20" ht="15" hidden="1" x14ac:dyDescent="0.2">
      <c r="K17" s="114"/>
    </row>
    <row r="18" spans="1:20" ht="15" hidden="1" x14ac:dyDescent="0.2">
      <c r="K18" s="114"/>
    </row>
    <row r="19" spans="1:20" ht="18" hidden="1" x14ac:dyDescent="0.25">
      <c r="A19" s="105" t="s">
        <v>158</v>
      </c>
      <c r="B19" s="113" t="s">
        <v>314</v>
      </c>
      <c r="C19" s="80"/>
      <c r="D19" s="80"/>
      <c r="E19" s="80"/>
      <c r="F19" s="80"/>
      <c r="G19" s="80"/>
      <c r="H19" s="80"/>
      <c r="I19" s="80"/>
      <c r="J19" s="80"/>
      <c r="K19" s="115"/>
      <c r="N19" s="12"/>
    </row>
    <row r="20" spans="1:20" ht="15" hidden="1" x14ac:dyDescent="0.2">
      <c r="K20" s="114"/>
    </row>
    <row r="21" spans="1:20" ht="18" hidden="1" x14ac:dyDescent="0.25">
      <c r="B21" s="104" t="s">
        <v>159</v>
      </c>
      <c r="C21" s="12"/>
      <c r="D21" s="12"/>
      <c r="E21" s="12"/>
      <c r="F21" s="12"/>
      <c r="G21" s="12"/>
      <c r="H21" s="12"/>
      <c r="I21" s="12"/>
      <c r="J21" s="12"/>
      <c r="K21" s="215">
        <f>IF('Baseline Inputs'!B5="D",'Project Summary'!D38,0)</f>
        <v>0</v>
      </c>
    </row>
    <row r="22" spans="1:20" ht="15" hidden="1" x14ac:dyDescent="0.2">
      <c r="A22" s="12"/>
      <c r="B22" s="12"/>
      <c r="C22" s="12"/>
      <c r="D22" s="12"/>
      <c r="E22" s="12"/>
      <c r="F22" s="12"/>
      <c r="G22" s="12"/>
      <c r="H22" s="12"/>
      <c r="I22" s="12"/>
      <c r="J22" s="12"/>
      <c r="K22" s="216"/>
    </row>
    <row r="23" spans="1:20" ht="18" hidden="1" x14ac:dyDescent="0.25">
      <c r="B23" s="104" t="s">
        <v>160</v>
      </c>
      <c r="C23" s="12"/>
      <c r="D23" s="12"/>
      <c r="E23" s="12"/>
      <c r="F23" s="12"/>
      <c r="G23" s="12"/>
      <c r="H23" s="12"/>
      <c r="I23" s="12"/>
      <c r="J23" s="12"/>
      <c r="K23" s="215">
        <f>IF('Project Summary'!D36&lt;0,-'Project Summary'!D36,0)</f>
        <v>37274.720683155894</v>
      </c>
    </row>
    <row r="24" spans="1:20" ht="15" hidden="1" x14ac:dyDescent="0.2">
      <c r="K24" s="216"/>
    </row>
    <row r="25" spans="1:20" ht="15" hidden="1" x14ac:dyDescent="0.2">
      <c r="K25" s="216"/>
    </row>
    <row r="26" spans="1:20" ht="18.75" hidden="1" thickBot="1" x14ac:dyDescent="0.3">
      <c r="B26" s="105" t="str">
        <f>IF(K21&gt;K23,"Net Due to Developer upon energization","Net Due to LDC upon energization")</f>
        <v>Net Due to LDC upon energization</v>
      </c>
      <c r="C26" s="106"/>
      <c r="D26" s="106"/>
      <c r="E26" s="106"/>
      <c r="F26" s="106"/>
      <c r="G26" s="106"/>
      <c r="H26" s="106"/>
      <c r="I26" s="106"/>
      <c r="J26" s="106"/>
      <c r="K26" s="217">
        <f>K21-K23</f>
        <v>-37274.720683155894</v>
      </c>
      <c r="L26" s="130"/>
      <c r="M26" s="350" t="s">
        <v>349</v>
      </c>
      <c r="N26" s="150"/>
      <c r="O26" s="150"/>
      <c r="P26" s="150"/>
      <c r="Q26" s="150"/>
      <c r="R26" s="150"/>
      <c r="S26" s="150"/>
      <c r="T26" s="150"/>
    </row>
    <row r="27" spans="1:20" ht="13.5" hidden="1" thickTop="1" x14ac:dyDescent="0.2"/>
    <row r="28" spans="1:20" hidden="1" x14ac:dyDescent="0.2"/>
    <row r="29" spans="1:20" hidden="1" x14ac:dyDescent="0.2"/>
    <row r="30" spans="1:20" ht="49.7" hidden="1" customHeight="1" x14ac:dyDescent="0.2">
      <c r="A30" s="143" t="s">
        <v>162</v>
      </c>
      <c r="B30" s="382" t="s">
        <v>173</v>
      </c>
      <c r="C30" s="382"/>
      <c r="D30" s="382"/>
      <c r="E30" s="382"/>
      <c r="F30" s="382"/>
      <c r="G30" s="382"/>
      <c r="H30" s="382"/>
      <c r="I30" s="382"/>
      <c r="J30" s="382"/>
      <c r="K30" s="382"/>
    </row>
    <row r="31" spans="1:20" hidden="1" x14ac:dyDescent="0.2"/>
    <row r="32" spans="1:20" ht="35.25" hidden="1" customHeight="1" x14ac:dyDescent="0.2">
      <c r="B32" s="380" t="s">
        <v>228</v>
      </c>
      <c r="C32" s="380"/>
      <c r="D32" s="380"/>
      <c r="E32" s="380"/>
      <c r="F32" s="380"/>
      <c r="G32" s="380"/>
      <c r="H32" s="380"/>
      <c r="I32" s="380"/>
      <c r="J32" s="380"/>
      <c r="K32" s="380"/>
    </row>
    <row r="33" spans="2:14" hidden="1" x14ac:dyDescent="0.2"/>
    <row r="34" spans="2:14" hidden="1" x14ac:dyDescent="0.2">
      <c r="B34" s="379" t="s">
        <v>163</v>
      </c>
      <c r="C34" s="379"/>
      <c r="D34" s="12"/>
      <c r="E34" s="12"/>
      <c r="F34" s="379" t="s">
        <v>166</v>
      </c>
      <c r="G34" s="379"/>
      <c r="H34" s="12"/>
      <c r="I34" s="12"/>
      <c r="J34" s="12"/>
      <c r="K34" s="102"/>
      <c r="L34" s="12"/>
    </row>
    <row r="35" spans="2:14" hidden="1" x14ac:dyDescent="0.2">
      <c r="B35" s="12"/>
      <c r="C35" s="12"/>
      <c r="D35" s="12"/>
      <c r="E35" s="12"/>
      <c r="F35" s="12"/>
      <c r="G35" s="12"/>
      <c r="H35" s="12"/>
      <c r="I35" s="12"/>
      <c r="J35" s="12"/>
      <c r="K35" s="12"/>
      <c r="L35" s="12"/>
    </row>
    <row r="36" spans="2:14" hidden="1" x14ac:dyDescent="0.2">
      <c r="B36" s="12" t="s">
        <v>164</v>
      </c>
      <c r="C36" s="144">
        <f>SUM('Project Summary'!B9:B16)</f>
        <v>51331.39</v>
      </c>
      <c r="D36" s="12"/>
      <c r="E36" s="12"/>
      <c r="F36" s="12" t="s">
        <v>167</v>
      </c>
      <c r="G36" s="145">
        <f>+'Baseline Inputs'!B201</f>
        <v>8</v>
      </c>
      <c r="H36" s="12"/>
      <c r="I36" s="12"/>
      <c r="J36" s="12"/>
      <c r="K36" s="351"/>
      <c r="L36" s="12"/>
      <c r="N36" s="12"/>
    </row>
    <row r="37" spans="2:14" hidden="1" x14ac:dyDescent="0.2">
      <c r="B37" s="12" t="s">
        <v>165</v>
      </c>
      <c r="C37" s="144">
        <f>SUM('Project Summary'!B21:B30)</f>
        <v>0</v>
      </c>
      <c r="D37" s="12"/>
      <c r="E37" s="12"/>
      <c r="F37" s="12" t="s">
        <v>168</v>
      </c>
      <c r="G37" s="145">
        <f>+'Baseline Inputs'!C201</f>
        <v>2</v>
      </c>
      <c r="H37" s="12"/>
      <c r="I37" s="12"/>
      <c r="J37" s="12"/>
      <c r="K37" s="351"/>
      <c r="L37" s="12"/>
    </row>
    <row r="38" spans="2:14" ht="13.5" hidden="1" thickBot="1" x14ac:dyDescent="0.25">
      <c r="B38" s="12" t="s">
        <v>145</v>
      </c>
      <c r="C38" s="144">
        <f>+'Project Summary'!B17</f>
        <v>0</v>
      </c>
      <c r="D38" s="12"/>
      <c r="E38" s="12"/>
      <c r="F38" s="12" t="s">
        <v>169</v>
      </c>
      <c r="G38" s="145">
        <f>+'Baseline Inputs'!D201</f>
        <v>0</v>
      </c>
      <c r="H38" s="12"/>
      <c r="I38" s="12"/>
      <c r="J38" s="12"/>
      <c r="K38" s="351"/>
      <c r="L38" s="12"/>
    </row>
    <row r="39" spans="2:14" ht="13.5" hidden="1" thickBot="1" x14ac:dyDescent="0.25">
      <c r="B39" s="121" t="s">
        <v>172</v>
      </c>
      <c r="C39" s="146">
        <f>SUM(C36:C38)</f>
        <v>51331.39</v>
      </c>
      <c r="D39" s="12"/>
      <c r="E39" s="12"/>
      <c r="F39" s="12" t="s">
        <v>170</v>
      </c>
      <c r="G39" s="145">
        <f>+'Baseline Inputs'!E201</f>
        <v>0</v>
      </c>
      <c r="H39" s="12"/>
      <c r="I39" s="12"/>
      <c r="J39" s="12"/>
      <c r="K39" s="351"/>
      <c r="L39" s="12"/>
    </row>
    <row r="40" spans="2:14" ht="13.5" hidden="1" thickBot="1" x14ac:dyDescent="0.25">
      <c r="B40" s="12"/>
      <c r="C40" s="12"/>
      <c r="D40" s="12"/>
      <c r="E40" s="12"/>
      <c r="F40" s="12" t="s">
        <v>171</v>
      </c>
      <c r="G40" s="147">
        <f>+'Baseline Inputs'!F201</f>
        <v>0</v>
      </c>
      <c r="H40" s="12"/>
      <c r="I40" s="12"/>
      <c r="J40" s="12"/>
      <c r="K40" s="351"/>
      <c r="L40" s="12"/>
    </row>
    <row r="41" spans="2:14" ht="13.5" hidden="1" thickBot="1" x14ac:dyDescent="0.25">
      <c r="B41" s="12"/>
      <c r="C41" s="12"/>
      <c r="D41" s="12"/>
      <c r="E41" s="12"/>
      <c r="F41" s="121" t="s">
        <v>172</v>
      </c>
      <c r="G41" s="148">
        <f>SUM(G36:G40)</f>
        <v>10</v>
      </c>
      <c r="H41" s="12"/>
      <c r="I41" s="12"/>
      <c r="J41" s="12"/>
      <c r="K41" s="12"/>
      <c r="L41" s="12"/>
    </row>
    <row r="42" spans="2:14" hidden="1" x14ac:dyDescent="0.2">
      <c r="B42" s="12"/>
      <c r="C42" s="12"/>
      <c r="D42" s="12"/>
      <c r="E42" s="12"/>
      <c r="F42" s="12"/>
      <c r="G42" s="12"/>
      <c r="H42" s="12"/>
      <c r="I42" s="12"/>
      <c r="J42" s="12"/>
      <c r="K42" s="12"/>
      <c r="L42" s="12"/>
    </row>
    <row r="43" spans="2:14" hidden="1" x14ac:dyDescent="0.2"/>
    <row r="44" spans="2:14" hidden="1" x14ac:dyDescent="0.2"/>
  </sheetData>
  <mergeCells count="8">
    <mergeCell ref="A3:K3"/>
    <mergeCell ref="A1:K1"/>
    <mergeCell ref="B8:K8"/>
    <mergeCell ref="F34:G34"/>
    <mergeCell ref="B34:C34"/>
    <mergeCell ref="B32:K32"/>
    <mergeCell ref="A5:K5"/>
    <mergeCell ref="B30:K30"/>
  </mergeCells>
  <phoneticPr fontId="16" type="noConversion"/>
  <pageMargins left="0.16" right="0.23" top="1" bottom="0.59" header="0.5" footer="0.5"/>
  <pageSetup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9960-0FC6-4770-BC83-A8F94EE0DA63}">
  <sheetPr>
    <tabColor rgb="FFFFFF00"/>
  </sheetPr>
  <dimension ref="A1:K20"/>
  <sheetViews>
    <sheetView workbookViewId="0">
      <selection activeCell="K27" sqref="K27"/>
    </sheetView>
  </sheetViews>
  <sheetFormatPr defaultRowHeight="12.75" x14ac:dyDescent="0.2"/>
  <cols>
    <col min="1" max="1" width="13.7109375" bestFit="1" customWidth="1"/>
    <col min="10" max="10" width="47.42578125" customWidth="1"/>
    <col min="11" max="11" width="14.7109375" bestFit="1" customWidth="1"/>
  </cols>
  <sheetData>
    <row r="1" spans="1:11" ht="18" x14ac:dyDescent="0.25">
      <c r="A1" s="383" t="str">
        <f>'Table of Contents'!A1</f>
        <v>Expansion - Economic Evaluation Model 2022</v>
      </c>
      <c r="B1" s="383"/>
      <c r="C1" s="383"/>
      <c r="D1" s="383"/>
      <c r="E1" s="383"/>
      <c r="F1" s="383"/>
      <c r="G1" s="383"/>
      <c r="H1" s="383"/>
      <c r="I1" s="383"/>
      <c r="J1" s="383"/>
      <c r="K1" s="383"/>
    </row>
    <row r="2" spans="1:11" x14ac:dyDescent="0.2">
      <c r="A2" s="11"/>
      <c r="B2" s="11"/>
      <c r="C2" s="11"/>
      <c r="D2" s="11"/>
      <c r="E2" s="11"/>
      <c r="F2" s="11"/>
      <c r="G2" s="11"/>
      <c r="H2" s="11"/>
      <c r="I2" s="11"/>
      <c r="J2" s="11"/>
      <c r="K2" s="11"/>
    </row>
    <row r="3" spans="1:11" ht="18" x14ac:dyDescent="0.25">
      <c r="A3" s="383" t="s">
        <v>353</v>
      </c>
      <c r="B3" s="383"/>
      <c r="C3" s="383"/>
      <c r="D3" s="383"/>
      <c r="E3" s="383"/>
      <c r="F3" s="383"/>
      <c r="G3" s="383"/>
      <c r="H3" s="383"/>
      <c r="I3" s="383"/>
      <c r="J3" s="383"/>
      <c r="K3" s="383"/>
    </row>
    <row r="4" spans="1:11" x14ac:dyDescent="0.2">
      <c r="A4" s="11"/>
      <c r="B4" s="11"/>
      <c r="C4" s="11"/>
      <c r="D4" s="11"/>
      <c r="E4" s="11"/>
      <c r="F4" s="11"/>
      <c r="G4" s="11"/>
      <c r="H4" s="11"/>
      <c r="I4" s="11"/>
      <c r="J4" s="11"/>
      <c r="K4" s="11"/>
    </row>
    <row r="5" spans="1:11" ht="18" x14ac:dyDescent="0.25">
      <c r="A5" s="384" t="str">
        <f>+'Baseline Inputs'!B3</f>
        <v>Mosley</v>
      </c>
      <c r="B5" s="384"/>
      <c r="C5" s="384"/>
      <c r="D5" s="384"/>
      <c r="E5" s="384"/>
      <c r="F5" s="384"/>
      <c r="G5" s="384"/>
      <c r="H5" s="384"/>
      <c r="I5" s="384"/>
      <c r="J5" s="384"/>
      <c r="K5" s="384"/>
    </row>
    <row r="8" spans="1:11" ht="18" x14ac:dyDescent="0.2">
      <c r="A8" s="134" t="s">
        <v>157</v>
      </c>
      <c r="B8" s="378" t="s">
        <v>313</v>
      </c>
      <c r="C8" s="378"/>
      <c r="D8" s="378"/>
      <c r="E8" s="378"/>
      <c r="F8" s="378"/>
      <c r="G8" s="378"/>
      <c r="H8" s="378"/>
      <c r="I8" s="378"/>
      <c r="J8" s="378"/>
      <c r="K8" s="378"/>
    </row>
    <row r="9" spans="1:11" x14ac:dyDescent="0.2">
      <c r="A9" s="135"/>
      <c r="B9" s="135"/>
      <c r="C9" s="135"/>
      <c r="D9" s="135"/>
      <c r="E9" s="135"/>
      <c r="F9" s="135"/>
      <c r="G9" s="135"/>
      <c r="H9" s="135"/>
      <c r="I9" s="135"/>
      <c r="J9" s="135"/>
      <c r="K9" s="135"/>
    </row>
    <row r="10" spans="1:11" ht="18" x14ac:dyDescent="0.25">
      <c r="A10" s="354"/>
      <c r="B10" s="355" t="s">
        <v>351</v>
      </c>
      <c r="C10" s="354"/>
      <c r="D10" s="354"/>
      <c r="E10" s="354"/>
      <c r="F10" s="354"/>
      <c r="G10" s="354"/>
      <c r="H10" s="354"/>
      <c r="I10" s="354"/>
      <c r="J10" s="354"/>
      <c r="K10" s="356">
        <f>+'Project Summary'!B34</f>
        <v>51331.390000000996</v>
      </c>
    </row>
    <row r="11" spans="1:11" ht="18" x14ac:dyDescent="0.25">
      <c r="A11" s="354"/>
      <c r="B11" s="355"/>
      <c r="C11" s="354"/>
      <c r="D11" s="354"/>
      <c r="E11" s="354"/>
      <c r="F11" s="354"/>
      <c r="G11" s="354"/>
      <c r="H11" s="354"/>
      <c r="I11" s="354"/>
      <c r="J11" s="354"/>
      <c r="K11" s="356"/>
    </row>
    <row r="12" spans="1:11" ht="18" x14ac:dyDescent="0.25">
      <c r="A12" s="354"/>
      <c r="B12" s="355" t="s">
        <v>356</v>
      </c>
      <c r="C12" s="354"/>
      <c r="D12" s="354"/>
      <c r="E12" s="354"/>
      <c r="F12" s="354"/>
      <c r="G12" s="354"/>
      <c r="H12" s="354"/>
      <c r="I12" s="354"/>
      <c r="J12" s="354"/>
      <c r="K12" s="356">
        <f>-(+'Project Summary'!B34+'Project Summary'!D34)+K10</f>
        <v>37274.720683155174</v>
      </c>
    </row>
    <row r="13" spans="1:11" ht="18" x14ac:dyDescent="0.25">
      <c r="A13" s="354"/>
      <c r="B13" s="355"/>
      <c r="C13" s="354"/>
      <c r="D13" s="354"/>
      <c r="E13" s="354"/>
      <c r="F13" s="354"/>
      <c r="G13" s="354"/>
      <c r="H13" s="354"/>
      <c r="I13" s="354"/>
      <c r="J13" s="354"/>
      <c r="K13" s="357"/>
    </row>
    <row r="14" spans="1:11" ht="18" x14ac:dyDescent="0.25">
      <c r="A14" s="354"/>
      <c r="B14" s="358" t="s">
        <v>345</v>
      </c>
      <c r="C14" s="359"/>
      <c r="D14" s="359"/>
      <c r="E14" s="359"/>
      <c r="F14" s="359"/>
      <c r="G14" s="359"/>
      <c r="H14" s="359"/>
      <c r="I14" s="359"/>
      <c r="J14" s="359"/>
      <c r="K14" s="360">
        <f>'Engineering Inputs'!B40-'Developer Summary'!K23</f>
        <v>14056.669316844105</v>
      </c>
    </row>
    <row r="15" spans="1:11" ht="28.5" customHeight="1" x14ac:dyDescent="0.25">
      <c r="A15" s="354"/>
      <c r="B15" s="355" t="s">
        <v>355</v>
      </c>
      <c r="C15" s="354"/>
      <c r="D15" s="354"/>
      <c r="E15" s="354"/>
      <c r="F15" s="354"/>
      <c r="G15" s="354"/>
      <c r="H15" s="354"/>
      <c r="I15" s="354"/>
      <c r="J15" s="354"/>
      <c r="K15" s="361">
        <f>IF('Baseline Inputs'!B5="D",0.1*K14,0)</f>
        <v>0</v>
      </c>
    </row>
    <row r="16" spans="1:11" ht="15" x14ac:dyDescent="0.2">
      <c r="A16" s="354"/>
      <c r="B16" s="354"/>
      <c r="C16" s="354"/>
      <c r="D16" s="354"/>
      <c r="E16" s="354"/>
      <c r="F16" s="354"/>
      <c r="G16" s="354"/>
      <c r="H16" s="354"/>
      <c r="I16" s="354"/>
      <c r="J16" s="354"/>
      <c r="K16" s="357"/>
    </row>
    <row r="17" spans="1:11" ht="18" x14ac:dyDescent="0.25">
      <c r="A17" s="354"/>
      <c r="B17" s="355" t="s">
        <v>354</v>
      </c>
      <c r="C17" s="354"/>
      <c r="D17" s="354"/>
      <c r="E17" s="354"/>
      <c r="F17" s="354"/>
      <c r="G17" s="354"/>
      <c r="H17" s="354"/>
      <c r="I17" s="354"/>
      <c r="J17" s="354"/>
      <c r="K17" s="362">
        <f>(K14-K15)/'Baseline Inputs'!G201</f>
        <v>1405.6669316844104</v>
      </c>
    </row>
    <row r="18" spans="1:11" ht="15" x14ac:dyDescent="0.2">
      <c r="A18" s="354"/>
      <c r="B18" s="354"/>
      <c r="C18" s="354"/>
      <c r="D18" s="354"/>
      <c r="E18" s="354"/>
      <c r="F18" s="354"/>
      <c r="G18" s="354"/>
      <c r="H18" s="354"/>
      <c r="I18" s="354"/>
      <c r="J18" s="354"/>
      <c r="K18" s="357"/>
    </row>
    <row r="19" spans="1:11" x14ac:dyDescent="0.2">
      <c r="A19" s="135"/>
      <c r="B19" s="135"/>
      <c r="C19" s="135"/>
      <c r="D19" s="135"/>
      <c r="E19" s="135"/>
      <c r="F19" s="135"/>
      <c r="G19" s="135"/>
      <c r="H19" s="135"/>
      <c r="I19" s="135"/>
      <c r="J19" s="135"/>
      <c r="K19" s="135"/>
    </row>
    <row r="20" spans="1:11" x14ac:dyDescent="0.2">
      <c r="A20" s="135"/>
      <c r="B20" s="135"/>
      <c r="C20" s="135"/>
      <c r="D20" s="135"/>
      <c r="E20" s="135"/>
      <c r="F20" s="135"/>
      <c r="G20" s="135"/>
      <c r="H20" s="135"/>
      <c r="I20" s="135"/>
      <c r="J20" s="135"/>
      <c r="K20" s="135"/>
    </row>
  </sheetData>
  <mergeCells count="4">
    <mergeCell ref="A1:K1"/>
    <mergeCell ref="A3:K3"/>
    <mergeCell ref="A5:K5"/>
    <mergeCell ref="B8:K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1"/>
  <sheetViews>
    <sheetView tabSelected="1" zoomScaleNormal="100" workbookViewId="0">
      <selection activeCell="E14" sqref="E14"/>
    </sheetView>
  </sheetViews>
  <sheetFormatPr defaultRowHeight="12.75" x14ac:dyDescent="0.2"/>
  <cols>
    <col min="1" max="1" width="35.7109375" customWidth="1"/>
    <col min="2" max="2" width="17.7109375" style="4" bestFit="1" customWidth="1"/>
    <col min="3" max="4" width="15.7109375" style="4" customWidth="1"/>
    <col min="5" max="5" width="15.7109375" customWidth="1"/>
    <col min="6" max="6" width="15.7109375" style="4" customWidth="1"/>
    <col min="7" max="8" width="15.7109375" customWidth="1"/>
    <col min="9" max="9" width="23.42578125" customWidth="1"/>
  </cols>
  <sheetData>
    <row r="1" spans="1:9" ht="18" x14ac:dyDescent="0.25">
      <c r="A1" s="81" t="str">
        <f>'Table of Contents'!A1</f>
        <v>Expansion - Economic Evaluation Model 2022</v>
      </c>
    </row>
    <row r="3" spans="1:9" x14ac:dyDescent="0.2">
      <c r="A3" s="11" t="s">
        <v>127</v>
      </c>
      <c r="B3" s="109" t="str">
        <f>+'Baseline Inputs'!B3</f>
        <v>Mosley</v>
      </c>
      <c r="C3" s="109">
        <f>+'Baseline Inputs'!C3</f>
        <v>0</v>
      </c>
      <c r="D3" s="325">
        <v>2022</v>
      </c>
      <c r="E3" s="322">
        <f>'Baseline Inputs'!E3</f>
        <v>0</v>
      </c>
      <c r="F3" s="326" t="s">
        <v>161</v>
      </c>
      <c r="I3" s="30"/>
    </row>
    <row r="4" spans="1:9" x14ac:dyDescent="0.2">
      <c r="A4" s="11"/>
      <c r="D4" s="4" t="s">
        <v>135</v>
      </c>
      <c r="I4" s="30"/>
    </row>
    <row r="5" spans="1:9" x14ac:dyDescent="0.2">
      <c r="B5" s="4" t="s">
        <v>35</v>
      </c>
      <c r="D5" s="4" t="s">
        <v>69</v>
      </c>
    </row>
    <row r="6" spans="1:9" x14ac:dyDescent="0.2">
      <c r="B6" s="14" t="s">
        <v>270</v>
      </c>
      <c r="D6" s="4" t="s">
        <v>136</v>
      </c>
    </row>
    <row r="7" spans="1:9" x14ac:dyDescent="0.2">
      <c r="B7" s="10" t="s">
        <v>60</v>
      </c>
      <c r="C7" s="10" t="s">
        <v>5</v>
      </c>
      <c r="D7" s="88" t="s">
        <v>137</v>
      </c>
    </row>
    <row r="8" spans="1:9" x14ac:dyDescent="0.2">
      <c r="A8" t="s">
        <v>34</v>
      </c>
      <c r="B8" s="10"/>
      <c r="C8"/>
      <c r="F8"/>
    </row>
    <row r="9" spans="1:9" x14ac:dyDescent="0.2">
      <c r="A9" s="20" t="str">
        <f>'Baseline Inputs'!B14</f>
        <v>1820 Distribution Station Equipment</v>
      </c>
      <c r="B9" s="62">
        <f>SUM('Baseline Inputs'!B205:F205)</f>
        <v>0</v>
      </c>
      <c r="C9" s="24">
        <f t="shared" ref="C9:C18" si="0">B9/($B$34)</f>
        <v>0</v>
      </c>
      <c r="D9" s="219">
        <f t="shared" ref="D9:D18" si="1">C9*$D$36</f>
        <v>0</v>
      </c>
      <c r="F9"/>
    </row>
    <row r="10" spans="1:9" x14ac:dyDescent="0.2">
      <c r="A10" s="20" t="str">
        <f>'Baseline Inputs'!B15</f>
        <v>1830 Poles, Towers &amp; Fixtures</v>
      </c>
      <c r="B10" s="62">
        <f>SUM('Baseline Inputs'!B206:F206)</f>
        <v>0</v>
      </c>
      <c r="C10" s="24">
        <f t="shared" si="0"/>
        <v>0</v>
      </c>
      <c r="D10" s="96">
        <f t="shared" si="1"/>
        <v>0</v>
      </c>
      <c r="F10"/>
      <c r="H10" s="18"/>
      <c r="I10" s="18"/>
    </row>
    <row r="11" spans="1:9" x14ac:dyDescent="0.2">
      <c r="A11" s="20" t="str">
        <f>'Baseline Inputs'!B16</f>
        <v>1835 Overhead Conductors &amp; Devices</v>
      </c>
      <c r="B11" s="62">
        <f>SUM('Baseline Inputs'!B207:F207)</f>
        <v>0</v>
      </c>
      <c r="C11" s="24">
        <f t="shared" si="0"/>
        <v>0</v>
      </c>
      <c r="D11" s="96">
        <f t="shared" si="1"/>
        <v>0</v>
      </c>
      <c r="F11"/>
    </row>
    <row r="12" spans="1:9" x14ac:dyDescent="0.2">
      <c r="A12" s="20" t="str">
        <f>'Baseline Inputs'!B17</f>
        <v>1840 Underground Conduit</v>
      </c>
      <c r="B12" s="62">
        <f>SUM('Baseline Inputs'!B208:F208)</f>
        <v>0</v>
      </c>
      <c r="C12" s="24">
        <f>B12/($B$34)</f>
        <v>0</v>
      </c>
      <c r="D12" s="96">
        <f>C12*$D$36</f>
        <v>0</v>
      </c>
      <c r="F12"/>
    </row>
    <row r="13" spans="1:9" x14ac:dyDescent="0.2">
      <c r="A13" s="20" t="str">
        <f>'Baseline Inputs'!B18</f>
        <v>1845 Underground Conductors &amp; Devices</v>
      </c>
      <c r="B13" s="62">
        <f>SUM('Baseline Inputs'!B209:F209)</f>
        <v>12218.77</v>
      </c>
      <c r="C13" s="24">
        <f t="shared" si="0"/>
        <v>0.23803699841363662</v>
      </c>
      <c r="D13" s="96">
        <f t="shared" si="1"/>
        <v>-8872.7626281251287</v>
      </c>
      <c r="F13"/>
      <c r="G13" s="18"/>
    </row>
    <row r="14" spans="1:9" x14ac:dyDescent="0.2">
      <c r="A14" s="20" t="str">
        <f>'Baseline Inputs'!B19</f>
        <v>1850 Transformers</v>
      </c>
      <c r="B14" s="62">
        <f>SUM('Baseline Inputs'!B210:F210)</f>
        <v>9478.81</v>
      </c>
      <c r="C14" s="24">
        <f t="shared" si="0"/>
        <v>0.18465913352433697</v>
      </c>
      <c r="D14" s="96">
        <f t="shared" si="1"/>
        <v>-6883.1176237132495</v>
      </c>
      <c r="F14"/>
    </row>
    <row r="15" spans="1:9" x14ac:dyDescent="0.2">
      <c r="A15" s="20" t="str">
        <f>'Baseline Inputs'!B20</f>
        <v>1855 Services</v>
      </c>
      <c r="B15" s="62">
        <f>SUM('Baseline Inputs'!B211:F211)</f>
        <v>29633.81</v>
      </c>
      <c r="C15" s="24">
        <f t="shared" si="0"/>
        <v>0.57730386806200706</v>
      </c>
      <c r="D15" s="96">
        <f t="shared" si="1"/>
        <v>-21518.840431316796</v>
      </c>
      <c r="F15"/>
    </row>
    <row r="16" spans="1:9" x14ac:dyDescent="0.2">
      <c r="A16" s="20" t="str">
        <f>'Baseline Inputs'!B21</f>
        <v>1860 Meters</v>
      </c>
      <c r="B16" s="62">
        <f>SUM('Baseline Inputs'!B212:F212)</f>
        <v>0</v>
      </c>
      <c r="C16" s="24">
        <f t="shared" si="0"/>
        <v>0</v>
      </c>
      <c r="D16" s="96">
        <f t="shared" si="1"/>
        <v>0</v>
      </c>
      <c r="F16"/>
    </row>
    <row r="17" spans="1:6" x14ac:dyDescent="0.2">
      <c r="A17" s="20">
        <f>'Baseline Inputs'!B22</f>
        <v>0</v>
      </c>
      <c r="B17" s="62">
        <f>SUM('Baseline Inputs'!B213:F213)</f>
        <v>0</v>
      </c>
      <c r="C17" s="24">
        <f t="shared" si="0"/>
        <v>0</v>
      </c>
      <c r="D17" s="96">
        <f t="shared" si="1"/>
        <v>0</v>
      </c>
      <c r="F17"/>
    </row>
    <row r="18" spans="1:6" x14ac:dyDescent="0.2">
      <c r="A18" s="20">
        <f>'Baseline Inputs'!B23</f>
        <v>0</v>
      </c>
      <c r="B18" s="62">
        <f>SUM('Baseline Inputs'!B214:F214)</f>
        <v>0</v>
      </c>
      <c r="C18" s="24">
        <f t="shared" si="0"/>
        <v>0</v>
      </c>
      <c r="D18" s="96">
        <f t="shared" si="1"/>
        <v>0</v>
      </c>
      <c r="F18"/>
    </row>
    <row r="19" spans="1:6" x14ac:dyDescent="0.2">
      <c r="A19" s="20"/>
      <c r="B19" s="5"/>
      <c r="C19" s="24"/>
      <c r="D19" s="96"/>
      <c r="F19"/>
    </row>
    <row r="20" spans="1:6" x14ac:dyDescent="0.2">
      <c r="A20" s="139" t="s">
        <v>269</v>
      </c>
      <c r="B20" s="5"/>
      <c r="C20" s="24"/>
      <c r="D20" s="96"/>
      <c r="F20"/>
    </row>
    <row r="21" spans="1:6" x14ac:dyDescent="0.2">
      <c r="A21" s="20" t="str">
        <f>'Baseline Inputs'!B26</f>
        <v>1820 Distribution Station Equipment</v>
      </c>
      <c r="B21" s="62">
        <f>SUM('Baseline Inputs'!B218:F218)</f>
        <v>0</v>
      </c>
      <c r="C21" s="24">
        <f>B21/($B$34)</f>
        <v>0</v>
      </c>
      <c r="D21" s="96">
        <f>C21*$D$36</f>
        <v>0</v>
      </c>
      <c r="F21"/>
    </row>
    <row r="22" spans="1:6" x14ac:dyDescent="0.2">
      <c r="A22" s="20" t="str">
        <f>'Baseline Inputs'!B27</f>
        <v>1830 Poles, Towers &amp; Fixtures</v>
      </c>
      <c r="B22" s="62">
        <f>SUM('Baseline Inputs'!B219:F219)</f>
        <v>0</v>
      </c>
      <c r="C22" s="24">
        <f t="shared" ref="C22:C30" si="2">B22/($B$34)</f>
        <v>0</v>
      </c>
      <c r="D22" s="96">
        <f t="shared" ref="D22:D30" si="3">C22*$D$36</f>
        <v>0</v>
      </c>
      <c r="F22"/>
    </row>
    <row r="23" spans="1:6" x14ac:dyDescent="0.2">
      <c r="A23" s="20" t="str">
        <f>'Baseline Inputs'!B28</f>
        <v>1835 Overhead Conductors &amp; Devices</v>
      </c>
      <c r="B23" s="62">
        <f>SUM('Baseline Inputs'!B220:F220)</f>
        <v>0</v>
      </c>
      <c r="C23" s="24">
        <f t="shared" si="2"/>
        <v>0</v>
      </c>
      <c r="D23" s="96">
        <f t="shared" si="3"/>
        <v>0</v>
      </c>
      <c r="F23"/>
    </row>
    <row r="24" spans="1:6" x14ac:dyDescent="0.2">
      <c r="A24" s="20" t="str">
        <f>'Baseline Inputs'!B29</f>
        <v>1840 Underground Conduit</v>
      </c>
      <c r="B24" s="62">
        <f>SUM('Baseline Inputs'!B221:F221)</f>
        <v>0</v>
      </c>
      <c r="C24" s="24">
        <f t="shared" si="2"/>
        <v>0</v>
      </c>
      <c r="D24" s="96">
        <f t="shared" si="3"/>
        <v>0</v>
      </c>
      <c r="F24"/>
    </row>
    <row r="25" spans="1:6" x14ac:dyDescent="0.2">
      <c r="A25" s="20" t="str">
        <f>'Baseline Inputs'!B30</f>
        <v>1845 Underground Conductors &amp; Devices</v>
      </c>
      <c r="B25" s="62">
        <f>SUM('Baseline Inputs'!B222:F222)</f>
        <v>0</v>
      </c>
      <c r="C25" s="24">
        <f t="shared" si="2"/>
        <v>0</v>
      </c>
      <c r="D25" s="96">
        <f t="shared" si="3"/>
        <v>0</v>
      </c>
      <c r="F25"/>
    </row>
    <row r="26" spans="1:6" x14ac:dyDescent="0.2">
      <c r="A26" s="20" t="str">
        <f>'Baseline Inputs'!B31</f>
        <v>1850 Transformers</v>
      </c>
      <c r="B26" s="62">
        <f>SUM('Baseline Inputs'!B223:F223)</f>
        <v>0</v>
      </c>
      <c r="C26" s="24">
        <f t="shared" si="2"/>
        <v>0</v>
      </c>
      <c r="D26" s="96">
        <f t="shared" si="3"/>
        <v>0</v>
      </c>
      <c r="F26"/>
    </row>
    <row r="27" spans="1:6" x14ac:dyDescent="0.2">
      <c r="A27" s="20" t="str">
        <f>'Baseline Inputs'!B32</f>
        <v>1855 Services</v>
      </c>
      <c r="B27" s="62">
        <f>SUM('Baseline Inputs'!B224:F224)</f>
        <v>0</v>
      </c>
      <c r="C27" s="24">
        <f t="shared" si="2"/>
        <v>0</v>
      </c>
      <c r="D27" s="96">
        <f t="shared" si="3"/>
        <v>0</v>
      </c>
      <c r="F27"/>
    </row>
    <row r="28" spans="1:6" x14ac:dyDescent="0.2">
      <c r="A28" s="20" t="str">
        <f>'Baseline Inputs'!B33</f>
        <v>1860 Meters</v>
      </c>
      <c r="B28" s="62">
        <f>SUM('Baseline Inputs'!B225:F225)</f>
        <v>0</v>
      </c>
      <c r="C28" s="24">
        <f t="shared" si="2"/>
        <v>0</v>
      </c>
      <c r="D28" s="96">
        <f t="shared" si="3"/>
        <v>0</v>
      </c>
      <c r="F28"/>
    </row>
    <row r="29" spans="1:6" x14ac:dyDescent="0.2">
      <c r="A29" s="20">
        <f>'Baseline Inputs'!B34</f>
        <v>0</v>
      </c>
      <c r="B29" s="62">
        <f>SUM('Baseline Inputs'!B226:F226)</f>
        <v>0</v>
      </c>
      <c r="C29" s="24">
        <f t="shared" si="2"/>
        <v>0</v>
      </c>
      <c r="D29" s="96">
        <f t="shared" si="3"/>
        <v>0</v>
      </c>
      <c r="F29"/>
    </row>
    <row r="30" spans="1:6" x14ac:dyDescent="0.2">
      <c r="A30" s="20">
        <f>'Baseline Inputs'!B35</f>
        <v>0</v>
      </c>
      <c r="B30" s="62">
        <f>SUM('Baseline Inputs'!B227:F227)</f>
        <v>0</v>
      </c>
      <c r="C30" s="24">
        <f t="shared" si="2"/>
        <v>0</v>
      </c>
      <c r="D30" s="96">
        <f t="shared" si="3"/>
        <v>0</v>
      </c>
      <c r="F30"/>
    </row>
    <row r="31" spans="1:6" x14ac:dyDescent="0.2">
      <c r="A31" s="20"/>
      <c r="B31" s="62"/>
      <c r="C31" s="24"/>
      <c r="D31" s="96"/>
      <c r="F31"/>
    </row>
    <row r="32" spans="1:6" x14ac:dyDescent="0.2">
      <c r="A32" t="str">
        <f>'Baseline Inputs'!A230</f>
        <v>Land</v>
      </c>
      <c r="B32" s="62">
        <f>SUM('Baseline Inputs'!B230:F230)</f>
        <v>0</v>
      </c>
      <c r="C32" s="24">
        <f>B32/($B$34)</f>
        <v>0</v>
      </c>
      <c r="D32" s="96">
        <f>C32*$D$36</f>
        <v>0</v>
      </c>
      <c r="F32"/>
    </row>
    <row r="33" spans="1:17" x14ac:dyDescent="0.2">
      <c r="B33" s="62"/>
      <c r="C33"/>
      <c r="D33" s="96"/>
      <c r="F33"/>
    </row>
    <row r="34" spans="1:17" ht="13.5" thickBot="1" x14ac:dyDescent="0.25">
      <c r="A34" s="11" t="s">
        <v>35</v>
      </c>
      <c r="B34" s="218">
        <f>SUM(B9:B33) + 0.000000001</f>
        <v>51331.390000000996</v>
      </c>
      <c r="C34" s="85">
        <f>SUM(C9:C33)</f>
        <v>0.99999999999998068</v>
      </c>
      <c r="D34" s="220">
        <f>SUM(D9:D33)</f>
        <v>-37274.720683155174</v>
      </c>
      <c r="E34" s="18"/>
      <c r="F34" s="18"/>
      <c r="G34" s="25"/>
      <c r="H34" s="25"/>
    </row>
    <row r="35" spans="1:17" ht="13.5" thickTop="1" x14ac:dyDescent="0.2"/>
    <row r="36" spans="1:17" ht="18" customHeight="1" x14ac:dyDescent="0.25">
      <c r="A36" s="87" t="s">
        <v>134</v>
      </c>
      <c r="B36" s="86"/>
      <c r="C36" s="86"/>
      <c r="D36" s="221">
        <f>-'Contribution CCA &amp; Cap Tax'!C59</f>
        <v>-37274.720683155894</v>
      </c>
      <c r="E36" s="110" t="str">
        <f>IF(D36&lt;0,"Shortfall", " ")</f>
        <v>Shortfall</v>
      </c>
      <c r="F36" s="20"/>
      <c r="H36" s="77"/>
    </row>
    <row r="37" spans="1:17" x14ac:dyDescent="0.2">
      <c r="A37" s="11"/>
      <c r="D37" s="62"/>
      <c r="E37" s="76"/>
      <c r="F37" s="20"/>
      <c r="H37" s="77"/>
    </row>
    <row r="38" spans="1:17" ht="17.25" customHeight="1" x14ac:dyDescent="0.25">
      <c r="A38" s="87" t="s">
        <v>294</v>
      </c>
      <c r="B38" s="86"/>
      <c r="C38" s="86"/>
      <c r="D38" s="222" t="str">
        <f>IF('Baseline Inputs'!B5="D",SUM(B9:B18)+B32," ")</f>
        <v xml:space="preserve"> </v>
      </c>
      <c r="E38" s="12" t="s">
        <v>295</v>
      </c>
      <c r="F38" s="5"/>
    </row>
    <row r="39" spans="1:17" ht="12.75" customHeight="1" x14ac:dyDescent="0.2">
      <c r="A39" s="79"/>
      <c r="D39" s="5"/>
    </row>
    <row r="40" spans="1:17" ht="15.75" x14ac:dyDescent="0.25">
      <c r="A40" s="8"/>
      <c r="D40" s="5"/>
      <c r="E40" s="4"/>
    </row>
    <row r="41" spans="1:17" ht="15" x14ac:dyDescent="0.25">
      <c r="A41" s="7" t="s">
        <v>133</v>
      </c>
      <c r="B41" s="84"/>
      <c r="C41" s="84"/>
      <c r="D41" s="223">
        <f>+'OTC Summary'!K14</f>
        <v>14056.669316844105</v>
      </c>
      <c r="E41" s="4"/>
    </row>
    <row r="42" spans="1:17" ht="15.75" thickBot="1" x14ac:dyDescent="0.3">
      <c r="A42" s="7" t="s">
        <v>138</v>
      </c>
      <c r="B42" s="84"/>
      <c r="C42" s="84"/>
      <c r="D42" s="363">
        <f>IF('Baseline Inputs'!B5="L",0,D41*0.1)</f>
        <v>0</v>
      </c>
      <c r="E42" s="20" t="str">
        <f>IF('Baseline Inputs'!B5="L"," ","Refund later of: 2 years after last connection or 2 years after connection horizon ends")</f>
        <v xml:space="preserve"> </v>
      </c>
      <c r="K42" s="12"/>
      <c r="L42" s="150"/>
      <c r="M42" s="150"/>
      <c r="N42" s="150"/>
      <c r="O42" s="150"/>
      <c r="P42" s="150"/>
      <c r="Q42" s="150"/>
    </row>
    <row r="43" spans="1:17" ht="15" x14ac:dyDescent="0.25">
      <c r="A43" s="7" t="s">
        <v>139</v>
      </c>
      <c r="B43" s="84"/>
      <c r="C43" s="84"/>
      <c r="D43" s="224">
        <f>D41-D42</f>
        <v>14056.669316844105</v>
      </c>
      <c r="E43" s="4"/>
    </row>
    <row r="44" spans="1:17" ht="15.75" x14ac:dyDescent="0.25">
      <c r="A44" s="8"/>
      <c r="D44" s="5"/>
      <c r="E44" s="4"/>
    </row>
    <row r="45" spans="1:17" ht="15" x14ac:dyDescent="0.25">
      <c r="A45" s="7" t="s">
        <v>174</v>
      </c>
      <c r="D45" s="5"/>
    </row>
    <row r="46" spans="1:17" ht="15" x14ac:dyDescent="0.25">
      <c r="A46" s="7"/>
      <c r="D46" s="5"/>
    </row>
    <row r="47" spans="1:17" x14ac:dyDescent="0.2">
      <c r="A47" s="79"/>
      <c r="B47" s="102" t="s">
        <v>143</v>
      </c>
      <c r="C47" s="102">
        <f>'Baseline Inputs'!C8</f>
        <v>2022</v>
      </c>
      <c r="D47" s="102">
        <f>C47+1</f>
        <v>2023</v>
      </c>
      <c r="E47" s="102">
        <f>D47+1</f>
        <v>2024</v>
      </c>
      <c r="F47" s="102">
        <f>E47+1</f>
        <v>2025</v>
      </c>
      <c r="G47" s="102">
        <f>F47+1</f>
        <v>2026</v>
      </c>
    </row>
    <row r="48" spans="1:17" x14ac:dyDescent="0.2">
      <c r="A48" t="str">
        <f>'Baseline Inputs'!A297</f>
        <v>Residential</v>
      </c>
      <c r="B48" s="273">
        <f>(+D43/'Baseline Inputs'!G201)</f>
        <v>1405.6669316844104</v>
      </c>
      <c r="C48" s="4">
        <f>+'Baseline Inputs'!B191</f>
        <v>8</v>
      </c>
      <c r="D48" s="4">
        <f>+'Baseline Inputs'!C191</f>
        <v>2</v>
      </c>
      <c r="E48" s="4">
        <f>+'Baseline Inputs'!D191</f>
        <v>0</v>
      </c>
      <c r="F48" s="4">
        <f>+'Baseline Inputs'!E191</f>
        <v>0</v>
      </c>
      <c r="G48" s="4">
        <f>+'Baseline Inputs'!F191</f>
        <v>0</v>
      </c>
      <c r="H48">
        <f>SUM(C48:G48)</f>
        <v>10</v>
      </c>
    </row>
    <row r="49" spans="1:9" x14ac:dyDescent="0.2">
      <c r="A49" t="str">
        <f>'Baseline Inputs'!A298</f>
        <v>General Service &lt; 50</v>
      </c>
      <c r="B49" s="35">
        <f>'Baseline Inputs'!G298</f>
        <v>0</v>
      </c>
      <c r="C49" s="49"/>
      <c r="D49" s="99"/>
      <c r="E49" s="100"/>
      <c r="F49" s="99"/>
      <c r="G49" s="100"/>
      <c r="H49">
        <f t="shared" ref="H49:H57" si="4">SUM(C49:G49)</f>
        <v>0</v>
      </c>
    </row>
    <row r="50" spans="1:9" x14ac:dyDescent="0.2">
      <c r="A50" t="str">
        <f>'Baseline Inputs'!A299</f>
        <v>General Service &gt; 50</v>
      </c>
      <c r="B50" s="35">
        <f>'Baseline Inputs'!G299</f>
        <v>0</v>
      </c>
      <c r="C50" s="49"/>
      <c r="D50" s="99"/>
      <c r="E50" s="100"/>
      <c r="F50" s="99"/>
      <c r="G50" s="100"/>
      <c r="H50">
        <f t="shared" si="4"/>
        <v>0</v>
      </c>
    </row>
    <row r="51" spans="1:9" x14ac:dyDescent="0.2">
      <c r="A51" t="str">
        <f>'Baseline Inputs'!A300</f>
        <v xml:space="preserve">Unmetered Scattered Load </v>
      </c>
      <c r="B51" s="35">
        <f>'Baseline Inputs'!G300</f>
        <v>0</v>
      </c>
      <c r="C51" s="97"/>
      <c r="D51" s="99"/>
      <c r="E51" s="100"/>
      <c r="F51" s="99"/>
      <c r="G51" s="100"/>
      <c r="H51">
        <f t="shared" si="4"/>
        <v>0</v>
      </c>
    </row>
    <row r="52" spans="1:9" x14ac:dyDescent="0.2">
      <c r="A52">
        <f>'Baseline Inputs'!A301</f>
        <v>0</v>
      </c>
      <c r="B52" s="35">
        <f>'Baseline Inputs'!G301</f>
        <v>0</v>
      </c>
      <c r="C52" s="98"/>
      <c r="D52" s="99"/>
      <c r="E52" s="100"/>
      <c r="F52" s="99"/>
      <c r="G52" s="100"/>
      <c r="H52">
        <f t="shared" si="4"/>
        <v>0</v>
      </c>
    </row>
    <row r="53" spans="1:9" x14ac:dyDescent="0.2">
      <c r="A53">
        <f>'Baseline Inputs'!A302</f>
        <v>0</v>
      </c>
      <c r="B53" s="35">
        <f>'Baseline Inputs'!G302</f>
        <v>0</v>
      </c>
      <c r="C53" s="98"/>
      <c r="D53" s="101"/>
      <c r="E53" s="100"/>
      <c r="F53" s="99"/>
      <c r="G53" s="100"/>
      <c r="H53">
        <f t="shared" si="4"/>
        <v>0</v>
      </c>
    </row>
    <row r="54" spans="1:9" x14ac:dyDescent="0.2">
      <c r="A54">
        <f>'Baseline Inputs'!A303</f>
        <v>0</v>
      </c>
      <c r="B54" s="35">
        <f>'Baseline Inputs'!G303</f>
        <v>0</v>
      </c>
      <c r="C54" s="49"/>
      <c r="D54" s="99"/>
      <c r="E54" s="100"/>
      <c r="F54" s="99"/>
      <c r="G54" s="100"/>
      <c r="H54">
        <f t="shared" si="4"/>
        <v>0</v>
      </c>
    </row>
    <row r="55" spans="1:9" x14ac:dyDescent="0.2">
      <c r="A55">
        <f>'Baseline Inputs'!A304</f>
        <v>0</v>
      </c>
      <c r="B55" s="35">
        <f>'Baseline Inputs'!G304</f>
        <v>0</v>
      </c>
      <c r="C55" s="49"/>
      <c r="D55" s="99"/>
      <c r="E55" s="100"/>
      <c r="F55" s="99"/>
      <c r="G55" s="100"/>
      <c r="H55">
        <f t="shared" si="4"/>
        <v>0</v>
      </c>
    </row>
    <row r="56" spans="1:9" x14ac:dyDescent="0.2">
      <c r="A56">
        <f>'Baseline Inputs'!A305</f>
        <v>0</v>
      </c>
      <c r="B56" s="35">
        <f>'Baseline Inputs'!G305</f>
        <v>0</v>
      </c>
      <c r="C56" s="49"/>
      <c r="D56" s="99"/>
      <c r="E56" s="100"/>
      <c r="F56" s="99"/>
      <c r="G56" s="100"/>
      <c r="H56">
        <f t="shared" si="4"/>
        <v>0</v>
      </c>
    </row>
    <row r="57" spans="1:9" x14ac:dyDescent="0.2">
      <c r="A57">
        <f>'Baseline Inputs'!A306</f>
        <v>0</v>
      </c>
      <c r="B57" s="35">
        <f>'Baseline Inputs'!G306</f>
        <v>0</v>
      </c>
      <c r="C57" s="49"/>
      <c r="D57" s="99"/>
      <c r="E57" s="100"/>
      <c r="F57" s="99"/>
      <c r="G57" s="100"/>
      <c r="H57">
        <f t="shared" si="4"/>
        <v>0</v>
      </c>
    </row>
    <row r="58" spans="1:9" x14ac:dyDescent="0.2">
      <c r="A58" s="12"/>
      <c r="B58" s="96"/>
    </row>
    <row r="59" spans="1:9" ht="13.5" thickBot="1" x14ac:dyDescent="0.25">
      <c r="C59" s="364">
        <f>($B$48*C48+$B$49*C49+$B$50*C50+$B$51*C51+$B$52*C52+$B$53*C53+$B$54*C54+$B$55*C55+$B$56*C56+$B$57*C57)</f>
        <v>11245.335453475283</v>
      </c>
      <c r="D59" s="365">
        <f>($B$48*D48+$B$49*D49+$B$50*D50+$B$51*D51+$B$52*D52+$B$53*D53+$B$54*D54+$B$55*D55+$B$56*D56+$B$57*D57)</f>
        <v>2811.3338633688209</v>
      </c>
      <c r="E59" s="365">
        <f>($B$48*E48+$B$49*E49+$B$50*E50+$B$51*E51+$B$52*E52+$B$53*E53+$B$54*E54+$B$55*E55+$B$56*E56+$B$57*E57)</f>
        <v>0</v>
      </c>
      <c r="F59" s="365">
        <f>($B$48*F48+$B$49*F49+$B$50*F50+$B$51*F51+$B$52*F52+$B$53*F53+$B$54*F54+$B$55*F55+$B$56*F56+$B$57*F57)</f>
        <v>0</v>
      </c>
      <c r="G59" s="365">
        <f>($B$48*G48+$B$49*G49+$B$50*G50+$B$51*G51+$B$52*G52+$B$53*G53+$B$54*G54+$B$55*G55+$B$56*G56+$B$57*G57)</f>
        <v>0</v>
      </c>
      <c r="H59" s="366">
        <f>SUM(C59:G59)</f>
        <v>14056.669316844105</v>
      </c>
    </row>
    <row r="63" spans="1:9" ht="14.25" x14ac:dyDescent="0.2">
      <c r="A63" s="324"/>
      <c r="F63"/>
    </row>
    <row r="64" spans="1:9" x14ac:dyDescent="0.2">
      <c r="A64" s="103"/>
      <c r="B64" s="12"/>
      <c r="C64" s="121"/>
      <c r="D64" s="121"/>
      <c r="E64" s="121"/>
      <c r="F64" s="12"/>
      <c r="G64" s="323"/>
      <c r="I64" s="4"/>
    </row>
    <row r="65" spans="2:9" x14ac:dyDescent="0.2">
      <c r="B65" s="278"/>
      <c r="C65" s="102"/>
      <c r="D65" s="102"/>
      <c r="E65" s="102"/>
      <c r="F65" s="102"/>
      <c r="G65" s="102"/>
      <c r="I65" s="4"/>
    </row>
    <row r="66" spans="2:9" x14ac:dyDescent="0.2">
      <c r="B66" s="279"/>
      <c r="C66" s="268"/>
      <c r="D66" s="268"/>
      <c r="E66" s="268"/>
      <c r="F66" s="277"/>
      <c r="G66" s="4"/>
      <c r="I66" s="4"/>
    </row>
    <row r="67" spans="2:9" x14ac:dyDescent="0.2">
      <c r="B67" s="14"/>
      <c r="C67" s="26"/>
      <c r="D67" s="269"/>
      <c r="E67" s="269"/>
      <c r="G67" s="270"/>
      <c r="I67" s="4"/>
    </row>
    <row r="68" spans="2:9" x14ac:dyDescent="0.2">
      <c r="C68" s="55"/>
      <c r="D68" s="55"/>
      <c r="E68" s="55"/>
      <c r="G68" s="271"/>
      <c r="I68" s="4"/>
    </row>
    <row r="69" spans="2:9" x14ac:dyDescent="0.2">
      <c r="C69" s="35"/>
      <c r="D69" s="35"/>
      <c r="E69" s="35"/>
      <c r="F69" s="10"/>
      <c r="G69" s="271"/>
      <c r="I69" s="4"/>
    </row>
    <row r="70" spans="2:9" x14ac:dyDescent="0.2">
      <c r="B70" s="279"/>
      <c r="C70" s="139"/>
      <c r="D70" s="139"/>
      <c r="E70" s="139"/>
      <c r="F70" s="272"/>
      <c r="G70" s="271"/>
      <c r="I70" s="4"/>
    </row>
    <row r="71" spans="2:9" x14ac:dyDescent="0.2">
      <c r="B71" s="14"/>
      <c r="C71" s="139"/>
      <c r="D71" s="139"/>
      <c r="E71" s="139"/>
      <c r="F71" s="272"/>
      <c r="G71" s="271"/>
      <c r="I71" s="4"/>
    </row>
    <row r="72" spans="2:9" x14ac:dyDescent="0.2">
      <c r="B72" s="14"/>
      <c r="C72" s="139"/>
      <c r="D72" s="139"/>
      <c r="E72" s="139"/>
      <c r="F72" s="273"/>
      <c r="G72" s="271"/>
      <c r="I72" s="4"/>
    </row>
    <row r="73" spans="2:9" x14ac:dyDescent="0.2">
      <c r="B73" s="14"/>
      <c r="C73" s="139"/>
      <c r="D73" s="139"/>
      <c r="E73" s="139"/>
      <c r="F73" s="273"/>
      <c r="G73" s="277"/>
      <c r="I73" s="4"/>
    </row>
    <row r="74" spans="2:9" x14ac:dyDescent="0.2">
      <c r="B74" s="14"/>
      <c r="C74" s="26"/>
      <c r="D74" s="269"/>
      <c r="E74" s="269"/>
      <c r="G74" s="270"/>
      <c r="I74" s="4"/>
    </row>
    <row r="75" spans="2:9" x14ac:dyDescent="0.2">
      <c r="C75" s="55"/>
      <c r="D75" s="55"/>
      <c r="E75" s="55"/>
      <c r="G75" s="271"/>
      <c r="I75" s="4"/>
    </row>
    <row r="76" spans="2:9" x14ac:dyDescent="0.2">
      <c r="C76" s="35"/>
      <c r="D76" s="35"/>
      <c r="E76" s="35"/>
      <c r="G76" s="271"/>
      <c r="I76" s="4"/>
    </row>
    <row r="77" spans="2:9" x14ac:dyDescent="0.2">
      <c r="B77" s="14"/>
      <c r="C77" s="274"/>
      <c r="D77" s="274"/>
      <c r="E77" s="274"/>
      <c r="F77" s="273"/>
      <c r="G77" s="4"/>
      <c r="I77" s="4"/>
    </row>
    <row r="78" spans="2:9" x14ac:dyDescent="0.2">
      <c r="B78" s="14"/>
      <c r="C78" s="12"/>
      <c r="D78" s="12"/>
      <c r="E78" s="12"/>
      <c r="F78" s="275"/>
      <c r="G78" s="276"/>
      <c r="I78" s="4"/>
    </row>
    <row r="79" spans="2:9" x14ac:dyDescent="0.2">
      <c r="C79" s="12"/>
      <c r="D79" s="12"/>
      <c r="E79" s="12"/>
      <c r="G79" s="4"/>
      <c r="I79" s="4"/>
    </row>
    <row r="80" spans="2:9" x14ac:dyDescent="0.2">
      <c r="F80"/>
    </row>
    <row r="81" spans="6:6" x14ac:dyDescent="0.2">
      <c r="F81"/>
    </row>
  </sheetData>
  <phoneticPr fontId="0" type="noConversion"/>
  <pageMargins left="0.75" right="0.75" top="1" bottom="1" header="0.5" footer="0.5"/>
  <pageSetup scale="6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7"/>
  <sheetViews>
    <sheetView workbookViewId="0"/>
  </sheetViews>
  <sheetFormatPr defaultRowHeight="12.75" x14ac:dyDescent="0.2"/>
  <cols>
    <col min="1" max="7" width="15.7109375" style="4" customWidth="1"/>
    <col min="8" max="8" width="15.7109375" style="5" customWidth="1"/>
    <col min="9" max="9" width="15.7109375" customWidth="1"/>
    <col min="11" max="11" width="10.85546875" style="4" bestFit="1" customWidth="1"/>
    <col min="12" max="12" width="11.140625" bestFit="1" customWidth="1"/>
  </cols>
  <sheetData>
    <row r="1" spans="1:7" ht="18" x14ac:dyDescent="0.25">
      <c r="A1" s="83" t="str">
        <f>'Table of Contents'!A1</f>
        <v>Expansion - Economic Evaluation Model 2022</v>
      </c>
    </row>
    <row r="3" spans="1:7" x14ac:dyDescent="0.2">
      <c r="A3" s="6" t="s">
        <v>14</v>
      </c>
    </row>
    <row r="5" spans="1:7" x14ac:dyDescent="0.2">
      <c r="A5" s="20" t="s">
        <v>43</v>
      </c>
      <c r="B5" s="20" t="str">
        <f>'Baseline Inputs'!B41</f>
        <v>Residential</v>
      </c>
    </row>
    <row r="7" spans="1:7" x14ac:dyDescent="0.2">
      <c r="B7" s="4" t="s">
        <v>28</v>
      </c>
      <c r="D7"/>
    </row>
    <row r="8" spans="1:7" x14ac:dyDescent="0.2">
      <c r="B8" s="10" t="s">
        <v>17</v>
      </c>
      <c r="C8" s="375" t="s">
        <v>26</v>
      </c>
      <c r="D8" s="375"/>
    </row>
    <row r="9" spans="1:7" x14ac:dyDescent="0.2">
      <c r="B9" s="14" t="s">
        <v>16</v>
      </c>
      <c r="C9" s="14" t="s">
        <v>13</v>
      </c>
      <c r="D9" s="14" t="s">
        <v>27</v>
      </c>
    </row>
    <row r="10" spans="1:7" x14ac:dyDescent="0.2">
      <c r="A10" s="4">
        <f>'Baseline Inputs'!$C$8</f>
        <v>2022</v>
      </c>
      <c r="B10" s="21">
        <f>'Baseline Inputs'!B57</f>
        <v>24.72</v>
      </c>
      <c r="C10" s="22">
        <f>'Baseline Inputs'!C57</f>
        <v>0</v>
      </c>
      <c r="D10" s="22">
        <f>'Baseline Inputs'!D57</f>
        <v>0</v>
      </c>
    </row>
    <row r="11" spans="1:7" x14ac:dyDescent="0.2">
      <c r="A11" s="4">
        <f>A10+1</f>
        <v>2023</v>
      </c>
      <c r="B11" s="21">
        <f>IF('Baseline Inputs'!B70 = 0, B10,'Baseline Inputs'!B70)</f>
        <v>25.535759999999996</v>
      </c>
      <c r="C11" s="22">
        <f>'Baseline Inputs'!C70</f>
        <v>0</v>
      </c>
      <c r="D11" s="22">
        <f>IF('Baseline Inputs'!D70 = 0, D10,'Baseline Inputs'!D70)</f>
        <v>0</v>
      </c>
      <c r="E11" s="60"/>
      <c r="F11" s="59"/>
      <c r="G11" s="59"/>
    </row>
    <row r="12" spans="1:7" x14ac:dyDescent="0.2">
      <c r="A12" s="4">
        <f>A11+1</f>
        <v>2024</v>
      </c>
      <c r="B12" s="21">
        <f>IF('Baseline Inputs'!B83 = 0, B11,'Baseline Inputs'!B83)</f>
        <v>26.046475199999996</v>
      </c>
      <c r="C12" s="22">
        <f>'Baseline Inputs'!C83</f>
        <v>0</v>
      </c>
      <c r="D12" s="22">
        <f>IF('Baseline Inputs'!D83 = 0, D11,'Baseline Inputs'!D83)</f>
        <v>0</v>
      </c>
      <c r="E12" s="60"/>
      <c r="F12" s="59"/>
      <c r="G12" s="59"/>
    </row>
    <row r="13" spans="1:7" x14ac:dyDescent="0.2">
      <c r="A13" s="4">
        <f>A12+1</f>
        <v>2025</v>
      </c>
      <c r="B13" s="21">
        <f>IF('Baseline Inputs'!B96 = 0, B12,'Baseline Inputs'!B96)</f>
        <v>26.567404703999998</v>
      </c>
      <c r="C13" s="22">
        <f>'Baseline Inputs'!C96</f>
        <v>0</v>
      </c>
      <c r="D13" s="22">
        <f>IF('Baseline Inputs'!D96 = 0, D12,'Baseline Inputs'!D96)</f>
        <v>0</v>
      </c>
      <c r="E13" s="60"/>
      <c r="F13" s="59"/>
      <c r="G13" s="59"/>
    </row>
    <row r="14" spans="1:7" x14ac:dyDescent="0.2">
      <c r="A14" s="4">
        <f>A13+1</f>
        <v>2026</v>
      </c>
      <c r="B14" s="21">
        <f>IF('Baseline Inputs'!B109 = 0, B13,'Baseline Inputs'!B109)</f>
        <v>27.09875279808</v>
      </c>
      <c r="C14" s="22">
        <f>'Baseline Inputs'!C109</f>
        <v>0</v>
      </c>
      <c r="D14" s="22">
        <f>IF('Baseline Inputs'!D109 = 0, D13,'Baseline Inputs'!D109)</f>
        <v>0</v>
      </c>
      <c r="E14" s="60"/>
      <c r="F14" s="59"/>
      <c r="G14" s="59"/>
    </row>
    <row r="15" spans="1:7" x14ac:dyDescent="0.2">
      <c r="B15" s="21"/>
      <c r="C15" s="22"/>
      <c r="D15" s="22"/>
      <c r="E15" s="60"/>
      <c r="F15" s="59"/>
      <c r="G15" s="59"/>
    </row>
    <row r="16" spans="1:7" x14ac:dyDescent="0.2">
      <c r="B16" s="376" t="s">
        <v>29</v>
      </c>
      <c r="C16" s="376"/>
      <c r="D16" s="10"/>
      <c r="E16" s="60"/>
      <c r="F16" s="59"/>
      <c r="G16" s="59"/>
    </row>
    <row r="17" spans="1:12" x14ac:dyDescent="0.2">
      <c r="B17" s="375" t="s">
        <v>30</v>
      </c>
      <c r="C17" s="375"/>
      <c r="D17" s="10"/>
      <c r="E17" s="60"/>
      <c r="F17" s="59"/>
      <c r="G17" s="59"/>
    </row>
    <row r="18" spans="1:12" x14ac:dyDescent="0.2">
      <c r="B18" s="14" t="s">
        <v>31</v>
      </c>
      <c r="C18" s="14" t="s">
        <v>32</v>
      </c>
      <c r="E18" s="60"/>
      <c r="F18" s="59"/>
      <c r="G18" s="59"/>
    </row>
    <row r="19" spans="1:12" x14ac:dyDescent="0.2">
      <c r="A19" s="4">
        <f>'Baseline Inputs'!$C$8</f>
        <v>2022</v>
      </c>
      <c r="B19" s="23">
        <f>'Baseline Inputs'!B125</f>
        <v>620.5001651397771</v>
      </c>
      <c r="C19" s="23">
        <f>'Baseline Inputs'!C125</f>
        <v>0</v>
      </c>
      <c r="D19" s="23"/>
      <c r="E19" s="60"/>
      <c r="F19" s="59"/>
      <c r="G19" s="59"/>
    </row>
    <row r="20" spans="1:12" x14ac:dyDescent="0.2">
      <c r="A20" s="4">
        <f>A19+1</f>
        <v>2023</v>
      </c>
      <c r="B20" s="23">
        <f>IF('Baseline Inputs'!$B$138 = 0, B19,'Baseline Inputs'!$B$138)</f>
        <v>620.5001651397771</v>
      </c>
      <c r="C20" s="23">
        <f>IF('Baseline Inputs'!$C$138 = 0, C19,'Baseline Inputs'!$C$138)</f>
        <v>0</v>
      </c>
      <c r="D20" s="23"/>
      <c r="E20" s="60"/>
      <c r="F20" s="59"/>
      <c r="G20" s="59"/>
    </row>
    <row r="21" spans="1:12" x14ac:dyDescent="0.2">
      <c r="A21" s="4">
        <f>A20+1</f>
        <v>2024</v>
      </c>
      <c r="B21" s="23">
        <f>IF('Baseline Inputs'!$B$151 = 0, B20,'Baseline Inputs'!$B$151)</f>
        <v>620.5001651397771</v>
      </c>
      <c r="C21" s="23">
        <f>IF('Baseline Inputs'!$C$151 = 0, C20,'Baseline Inputs'!$C$151)</f>
        <v>0</v>
      </c>
      <c r="D21" s="23"/>
      <c r="E21" s="60"/>
      <c r="F21" s="59"/>
      <c r="G21" s="59"/>
    </row>
    <row r="22" spans="1:12" x14ac:dyDescent="0.2">
      <c r="A22" s="4">
        <f>A21+1</f>
        <v>2025</v>
      </c>
      <c r="B22" s="23">
        <f>IF('Baseline Inputs'!$B$164 = 0, B21,'Baseline Inputs'!$B$164)</f>
        <v>620.5001651397771</v>
      </c>
      <c r="C22" s="23">
        <f>IF('Baseline Inputs'!$C$164 = 0, C21,'Baseline Inputs'!$C$164)</f>
        <v>0</v>
      </c>
      <c r="D22" s="23"/>
      <c r="E22" s="60"/>
      <c r="F22" s="59"/>
      <c r="G22" s="59"/>
    </row>
    <row r="23" spans="1:12" x14ac:dyDescent="0.2">
      <c r="A23" s="4">
        <f>A22+1</f>
        <v>2026</v>
      </c>
      <c r="B23" s="23">
        <f>IF('Baseline Inputs'!$B$177 = 0, B22,'Baseline Inputs'!$B$177)</f>
        <v>620.5001651397771</v>
      </c>
      <c r="C23" s="23">
        <f>IF('Baseline Inputs'!$C$177 = 0, C22,'Baseline Inputs'!$C$177)</f>
        <v>0</v>
      </c>
      <c r="D23" s="23"/>
      <c r="E23" s="60"/>
      <c r="F23" s="59"/>
      <c r="G23" s="59"/>
    </row>
    <row r="24" spans="1:12" x14ac:dyDescent="0.2">
      <c r="B24" s="14"/>
      <c r="C24" s="14"/>
      <c r="D24" s="14"/>
      <c r="E24" s="60"/>
      <c r="F24" s="59"/>
      <c r="G24" s="59"/>
    </row>
    <row r="25" spans="1:12" x14ac:dyDescent="0.2">
      <c r="B25" s="21"/>
      <c r="C25" s="22"/>
      <c r="D25" s="22"/>
      <c r="E25" s="14"/>
      <c r="F25" s="14" t="s">
        <v>45</v>
      </c>
      <c r="G25" s="14" t="s">
        <v>45</v>
      </c>
      <c r="H25" s="14" t="s">
        <v>45</v>
      </c>
      <c r="K25" s="14"/>
    </row>
    <row r="26" spans="1:12" x14ac:dyDescent="0.2">
      <c r="B26" s="21"/>
      <c r="C26" s="22"/>
      <c r="D26" s="22" t="s">
        <v>51</v>
      </c>
      <c r="E26" s="14" t="s">
        <v>52</v>
      </c>
      <c r="F26" s="14" t="s">
        <v>50</v>
      </c>
      <c r="G26" s="14" t="s">
        <v>47</v>
      </c>
      <c r="H26" s="14" t="s">
        <v>48</v>
      </c>
      <c r="K26" s="14"/>
    </row>
    <row r="27" spans="1:12" x14ac:dyDescent="0.2">
      <c r="B27" s="21" t="s">
        <v>45</v>
      </c>
      <c r="C27" s="22" t="s">
        <v>46</v>
      </c>
      <c r="D27" s="22" t="s">
        <v>47</v>
      </c>
      <c r="E27" s="14" t="s">
        <v>48</v>
      </c>
      <c r="F27" s="14" t="s">
        <v>17</v>
      </c>
      <c r="G27" s="14" t="s">
        <v>17</v>
      </c>
      <c r="H27" s="14" t="s">
        <v>17</v>
      </c>
      <c r="I27" s="14" t="s">
        <v>35</v>
      </c>
      <c r="J27" s="14"/>
      <c r="K27" s="14"/>
    </row>
    <row r="28" spans="1:12" x14ac:dyDescent="0.2">
      <c r="B28" s="21" t="s">
        <v>44</v>
      </c>
      <c r="C28" s="22" t="s">
        <v>44</v>
      </c>
      <c r="D28" s="22" t="s">
        <v>31</v>
      </c>
      <c r="E28" s="14" t="s">
        <v>49</v>
      </c>
      <c r="F28" s="14" t="s">
        <v>7</v>
      </c>
      <c r="G28" s="14" t="s">
        <v>7</v>
      </c>
      <c r="H28" s="14" t="s">
        <v>7</v>
      </c>
      <c r="I28" s="14" t="s">
        <v>7</v>
      </c>
      <c r="J28" s="14"/>
      <c r="K28" s="14"/>
    </row>
    <row r="29" spans="1:12" x14ac:dyDescent="0.2">
      <c r="B29" s="21"/>
      <c r="C29" s="22"/>
      <c r="D29" s="22"/>
      <c r="E29" s="14"/>
      <c r="F29" s="14"/>
      <c r="G29" s="14"/>
    </row>
    <row r="30" spans="1:12" x14ac:dyDescent="0.2">
      <c r="A30" s="4">
        <f>'Baseline Inputs'!$C$8</f>
        <v>2022</v>
      </c>
      <c r="B30" s="23">
        <f>'Baseline Inputs'!B191</f>
        <v>8</v>
      </c>
      <c r="C30" s="23">
        <f>B30</f>
        <v>8</v>
      </c>
      <c r="D30" s="23">
        <f>B30*B19</f>
        <v>4964.0013211182168</v>
      </c>
      <c r="E30" s="14">
        <f>B30*C19</f>
        <v>0</v>
      </c>
      <c r="F30" s="21">
        <f>C30*B10*12</f>
        <v>2373.12</v>
      </c>
      <c r="G30" s="21">
        <f>D30 *C10 *12</f>
        <v>0</v>
      </c>
      <c r="H30" s="62">
        <f>E30 *D10*12</f>
        <v>0</v>
      </c>
      <c r="I30" s="62">
        <f>SUM(F30:H30)</f>
        <v>2373.12</v>
      </c>
      <c r="J30" s="24"/>
      <c r="K30" s="5"/>
      <c r="L30" s="25"/>
    </row>
    <row r="31" spans="1:12" x14ac:dyDescent="0.2">
      <c r="A31" s="4">
        <f>A30+1</f>
        <v>2023</v>
      </c>
      <c r="B31" s="23">
        <f>'Baseline Inputs'!C191</f>
        <v>2</v>
      </c>
      <c r="C31" s="23">
        <f>C30+B31</f>
        <v>10</v>
      </c>
      <c r="D31" s="23">
        <f>D30+B31*B20</f>
        <v>6205.0016513977707</v>
      </c>
      <c r="E31" s="14">
        <f>E30+B31*C20</f>
        <v>0</v>
      </c>
      <c r="F31" s="21">
        <f>C31*B11*12</f>
        <v>3064.2911999999997</v>
      </c>
      <c r="G31" s="21">
        <f>D31 *C11 *12</f>
        <v>0</v>
      </c>
      <c r="H31" s="62">
        <f>E31 *D11*12</f>
        <v>0</v>
      </c>
      <c r="I31" s="62">
        <f>SUM(F31:H31)</f>
        <v>3064.2911999999997</v>
      </c>
      <c r="J31" s="24"/>
      <c r="K31" s="5"/>
    </row>
    <row r="32" spans="1:12" x14ac:dyDescent="0.2">
      <c r="A32" s="4">
        <f>A31+1</f>
        <v>2024</v>
      </c>
      <c r="B32" s="23">
        <f>'Baseline Inputs'!D191</f>
        <v>0</v>
      </c>
      <c r="C32" s="23">
        <f>C31+B32</f>
        <v>10</v>
      </c>
      <c r="D32" s="23">
        <f>D31+B32*B21</f>
        <v>6205.0016513977707</v>
      </c>
      <c r="E32" s="14">
        <f>E31+B32*C21</f>
        <v>0</v>
      </c>
      <c r="F32" s="21">
        <f>C32*B12*12</f>
        <v>3125.5770239999997</v>
      </c>
      <c r="G32" s="21">
        <f>D32 *C12 *12</f>
        <v>0</v>
      </c>
      <c r="H32" s="62">
        <f>E32 *D12*12</f>
        <v>0</v>
      </c>
      <c r="I32" s="62">
        <f>SUM(F32:H32)</f>
        <v>3125.5770239999997</v>
      </c>
      <c r="J32" s="24"/>
      <c r="K32" s="5"/>
    </row>
    <row r="33" spans="1:11" x14ac:dyDescent="0.2">
      <c r="A33" s="4">
        <f>A32+1</f>
        <v>2025</v>
      </c>
      <c r="B33" s="23">
        <f>'Baseline Inputs'!E191</f>
        <v>0</v>
      </c>
      <c r="C33" s="23">
        <f>C32+B33</f>
        <v>10</v>
      </c>
      <c r="D33" s="23">
        <f>D32+B33*B22</f>
        <v>6205.0016513977707</v>
      </c>
      <c r="E33" s="14">
        <f>E32+B33*C22</f>
        <v>0</v>
      </c>
      <c r="F33" s="21">
        <f>C33*B13*12</f>
        <v>3188.0885644800001</v>
      </c>
      <c r="G33" s="21">
        <f>D33 *C13 *12</f>
        <v>0</v>
      </c>
      <c r="H33" s="62">
        <f>E33 *D13*12</f>
        <v>0</v>
      </c>
      <c r="I33" s="62">
        <f>SUM(F33:H33)</f>
        <v>3188.0885644800001</v>
      </c>
      <c r="J33" s="24"/>
      <c r="K33" s="5"/>
    </row>
    <row r="34" spans="1:11" x14ac:dyDescent="0.2">
      <c r="A34" s="4">
        <f>A33+1</f>
        <v>2026</v>
      </c>
      <c r="B34" s="23">
        <f>'Baseline Inputs'!F191</f>
        <v>0</v>
      </c>
      <c r="C34" s="23">
        <f>C33+B34</f>
        <v>10</v>
      </c>
      <c r="D34" s="23">
        <f>D33+B34*B23</f>
        <v>6205.0016513977707</v>
      </c>
      <c r="E34" s="14">
        <f>E33+B34*C23</f>
        <v>0</v>
      </c>
      <c r="F34" s="21">
        <f>C34*B14*12</f>
        <v>3251.8503357696</v>
      </c>
      <c r="G34" s="21">
        <f>D34 *C14 *12</f>
        <v>0</v>
      </c>
      <c r="H34" s="62">
        <f>E34 *D14*12</f>
        <v>0</v>
      </c>
      <c r="I34" s="62">
        <f>SUM(F34:H34)</f>
        <v>3251.8503357696</v>
      </c>
      <c r="J34" s="24"/>
      <c r="K34" s="5"/>
    </row>
    <row r="35" spans="1:11" x14ac:dyDescent="0.2">
      <c r="B35" s="23"/>
      <c r="C35" s="22"/>
      <c r="D35" s="22"/>
      <c r="E35" s="14"/>
      <c r="F35" s="14"/>
      <c r="G35" s="14"/>
    </row>
    <row r="37" spans="1:11" x14ac:dyDescent="0.2">
      <c r="A37" s="20" t="s">
        <v>43</v>
      </c>
      <c r="B37" s="20" t="str">
        <f>'Baseline Inputs'!B42</f>
        <v>General Service &lt; 50</v>
      </c>
    </row>
    <row r="39" spans="1:11" x14ac:dyDescent="0.2">
      <c r="B39" s="4" t="s">
        <v>28</v>
      </c>
      <c r="D39"/>
    </row>
    <row r="40" spans="1:11" x14ac:dyDescent="0.2">
      <c r="B40" s="10" t="s">
        <v>17</v>
      </c>
      <c r="C40" s="375" t="s">
        <v>26</v>
      </c>
      <c r="D40" s="375"/>
    </row>
    <row r="41" spans="1:11" x14ac:dyDescent="0.2">
      <c r="B41" s="14" t="s">
        <v>16</v>
      </c>
      <c r="C41" s="14" t="s">
        <v>13</v>
      </c>
      <c r="D41" s="14" t="s">
        <v>27</v>
      </c>
    </row>
    <row r="42" spans="1:11" x14ac:dyDescent="0.2">
      <c r="A42" s="4">
        <f>'Baseline Inputs'!$C$8</f>
        <v>2022</v>
      </c>
      <c r="B42" s="21">
        <f>'Baseline Inputs'!B58</f>
        <v>16.64</v>
      </c>
      <c r="C42" s="22">
        <f>'Baseline Inputs'!C58</f>
        <v>1.67E-2</v>
      </c>
      <c r="D42" s="22">
        <f>'Baseline Inputs'!D58</f>
        <v>0</v>
      </c>
    </row>
    <row r="43" spans="1:11" x14ac:dyDescent="0.2">
      <c r="A43" s="4">
        <f>A42+1</f>
        <v>2023</v>
      </c>
      <c r="B43" s="21">
        <f>IF('Baseline Inputs'!B71=0,B42,'Baseline Inputs'!B71)</f>
        <v>17.189119999999999</v>
      </c>
      <c r="C43" s="22">
        <f>IF('Baseline Inputs'!C71=0,C42,'Baseline Inputs'!C71)</f>
        <v>1.7251099999999998E-2</v>
      </c>
      <c r="D43" s="22">
        <f>IF('Baseline Inputs'!D71=0,D42,'Baseline Inputs'!D71)</f>
        <v>0</v>
      </c>
      <c r="E43" s="59"/>
      <c r="F43" s="14"/>
      <c r="G43" s="14"/>
    </row>
    <row r="44" spans="1:11" x14ac:dyDescent="0.2">
      <c r="A44" s="4">
        <f>A43+1</f>
        <v>2024</v>
      </c>
      <c r="B44" s="21">
        <f>IF('Baseline Inputs'!$B$84 = 0, B43,'Baseline Inputs'!$B$84)</f>
        <v>17.532902400000001</v>
      </c>
      <c r="C44" s="22">
        <f>IF('Baseline Inputs'!$C$84 = 0, C43,'Baseline Inputs'!$C$84)</f>
        <v>1.7596121999999999E-2</v>
      </c>
      <c r="D44" s="22">
        <f>IF('Baseline Inputs'!$D$84 = 0, D43,'Baseline Inputs'!$D$84)</f>
        <v>0</v>
      </c>
      <c r="E44" s="59"/>
      <c r="F44" s="14"/>
      <c r="G44" s="14"/>
    </row>
    <row r="45" spans="1:11" x14ac:dyDescent="0.2">
      <c r="A45" s="4">
        <f>A44+1</f>
        <v>2025</v>
      </c>
      <c r="B45" s="21">
        <f>IF('Baseline Inputs'!$B$97 = 0, B44,'Baseline Inputs'!$B$97)</f>
        <v>17.883560448000001</v>
      </c>
      <c r="C45" s="22">
        <f>IF('Baseline Inputs'!$C$97 = 0, C44,'Baseline Inputs'!$C$97)</f>
        <v>1.7948044439999998E-2</v>
      </c>
      <c r="D45" s="22">
        <f>IF('Baseline Inputs'!$D$97 = 0, D44,'Baseline Inputs'!$D$97)</f>
        <v>0</v>
      </c>
      <c r="E45" s="59"/>
      <c r="F45" s="14"/>
      <c r="G45" s="14"/>
    </row>
    <row r="46" spans="1:11" x14ac:dyDescent="0.2">
      <c r="A46" s="4">
        <f>A45+1</f>
        <v>2026</v>
      </c>
      <c r="B46" s="21">
        <f>IF('Baseline Inputs'!$B$110 = 0, B45,'Baseline Inputs'!$B$110)</f>
        <v>18.24123165696</v>
      </c>
      <c r="C46" s="22">
        <f>IF('Baseline Inputs'!$C$110 = 0, C45,'Baseline Inputs'!$C$110)</f>
        <v>1.8307005328799999E-2</v>
      </c>
      <c r="D46" s="22">
        <f>IF('Baseline Inputs'!$D$110 = 0, D45,'Baseline Inputs'!$D$110)</f>
        <v>0</v>
      </c>
      <c r="E46" s="59"/>
      <c r="F46" s="14"/>
      <c r="G46" s="14"/>
    </row>
    <row r="47" spans="1:11" x14ac:dyDescent="0.2">
      <c r="B47" s="21"/>
      <c r="C47" s="22"/>
      <c r="D47" s="22"/>
      <c r="E47" s="59"/>
      <c r="F47" s="14"/>
      <c r="G47" s="14"/>
    </row>
    <row r="48" spans="1:11" x14ac:dyDescent="0.2">
      <c r="B48" s="376" t="s">
        <v>29</v>
      </c>
      <c r="C48" s="376"/>
      <c r="D48" s="10"/>
      <c r="E48" s="59"/>
      <c r="F48" s="14"/>
      <c r="G48" s="14"/>
    </row>
    <row r="49" spans="1:11" x14ac:dyDescent="0.2">
      <c r="B49" s="375" t="s">
        <v>30</v>
      </c>
      <c r="C49" s="375"/>
      <c r="D49" s="10"/>
      <c r="E49" s="59"/>
      <c r="F49" s="14"/>
      <c r="G49" s="14"/>
    </row>
    <row r="50" spans="1:11" x14ac:dyDescent="0.2">
      <c r="B50" s="14" t="s">
        <v>31</v>
      </c>
      <c r="C50" s="14" t="s">
        <v>32</v>
      </c>
      <c r="E50" s="59"/>
      <c r="F50" s="14"/>
      <c r="G50" s="14"/>
    </row>
    <row r="51" spans="1:11" x14ac:dyDescent="0.2">
      <c r="A51" s="4">
        <f>'Baseline Inputs'!$C$8</f>
        <v>2022</v>
      </c>
      <c r="B51" s="23">
        <f>'Baseline Inputs'!B126</f>
        <v>1750.4804145559792</v>
      </c>
      <c r="C51" s="23">
        <f>'Baseline Inputs'!C126</f>
        <v>0</v>
      </c>
      <c r="D51" s="23"/>
      <c r="E51" s="14"/>
      <c r="F51" s="14"/>
      <c r="G51" s="14"/>
    </row>
    <row r="52" spans="1:11" x14ac:dyDescent="0.2">
      <c r="A52" s="4">
        <f>A51+1</f>
        <v>2023</v>
      </c>
      <c r="B52" s="23">
        <f>IF('Baseline Inputs'!$B$139 = 0, B51,'Baseline Inputs'!$B$139)</f>
        <v>1750.4804145559792</v>
      </c>
      <c r="C52" s="23">
        <f>IF('Baseline Inputs'!$C$139 = 0, C51,'Baseline Inputs'!$C$139)</f>
        <v>0</v>
      </c>
      <c r="D52" s="23"/>
      <c r="E52" s="14"/>
      <c r="F52" s="14"/>
      <c r="G52" s="14"/>
    </row>
    <row r="53" spans="1:11" x14ac:dyDescent="0.2">
      <c r="A53" s="4">
        <f>A52+1</f>
        <v>2024</v>
      </c>
      <c r="B53" s="23">
        <f>IF('Baseline Inputs'!$B$152 = 0, B52,'Baseline Inputs'!$B$152)</f>
        <v>1750.4804145559792</v>
      </c>
      <c r="C53" s="23">
        <f>IF('Baseline Inputs'!$C$152 = 0, C52,'Baseline Inputs'!$C$152)</f>
        <v>0</v>
      </c>
      <c r="D53" s="23"/>
      <c r="E53" s="14"/>
      <c r="F53" s="14"/>
      <c r="G53" s="14"/>
    </row>
    <row r="54" spans="1:11" x14ac:dyDescent="0.2">
      <c r="A54" s="4">
        <f>A53+1</f>
        <v>2025</v>
      </c>
      <c r="B54" s="23">
        <f>IF('Baseline Inputs'!$B$165 = 0, B53,'Baseline Inputs'!$B$165)</f>
        <v>1750.4804145559792</v>
      </c>
      <c r="C54" s="23">
        <f>IF('Baseline Inputs'!$C$165 = 0, C53,'Baseline Inputs'!$C$165)</f>
        <v>0</v>
      </c>
      <c r="D54" s="23"/>
      <c r="E54" s="14"/>
      <c r="F54" s="14"/>
      <c r="G54" s="14"/>
    </row>
    <row r="55" spans="1:11" x14ac:dyDescent="0.2">
      <c r="A55" s="4">
        <f>A54+1</f>
        <v>2026</v>
      </c>
      <c r="B55" s="23">
        <f>IF('Baseline Inputs'!$B$178 = 0, B54,'Baseline Inputs'!$B$178)</f>
        <v>1750.4804145559792</v>
      </c>
      <c r="C55" s="23">
        <f>IF('Baseline Inputs'!$C$178 = 0, C54,'Baseline Inputs'!$C$178)</f>
        <v>0</v>
      </c>
      <c r="D55" s="23"/>
      <c r="E55" s="14"/>
      <c r="F55" s="14"/>
      <c r="G55" s="14"/>
    </row>
    <row r="56" spans="1:11" x14ac:dyDescent="0.2">
      <c r="B56" s="21"/>
      <c r="C56" s="22"/>
      <c r="D56" s="22"/>
      <c r="E56" s="14"/>
      <c r="F56" s="14"/>
      <c r="G56" s="14"/>
    </row>
    <row r="57" spans="1:11" x14ac:dyDescent="0.2">
      <c r="B57" s="21"/>
      <c r="C57" s="22"/>
      <c r="D57" s="22"/>
      <c r="E57" s="14"/>
      <c r="F57" s="14" t="s">
        <v>45</v>
      </c>
      <c r="G57" s="14" t="s">
        <v>45</v>
      </c>
      <c r="H57" s="14" t="s">
        <v>45</v>
      </c>
      <c r="K57" s="14"/>
    </row>
    <row r="58" spans="1:11" x14ac:dyDescent="0.2">
      <c r="B58" s="21"/>
      <c r="C58" s="22"/>
      <c r="D58" s="22" t="s">
        <v>51</v>
      </c>
      <c r="E58" s="14" t="s">
        <v>52</v>
      </c>
      <c r="F58" s="14" t="s">
        <v>50</v>
      </c>
      <c r="G58" s="14" t="s">
        <v>47</v>
      </c>
      <c r="H58" s="14" t="s">
        <v>48</v>
      </c>
      <c r="K58" s="14"/>
    </row>
    <row r="59" spans="1:11" x14ac:dyDescent="0.2">
      <c r="B59" s="21" t="s">
        <v>45</v>
      </c>
      <c r="C59" s="22" t="s">
        <v>46</v>
      </c>
      <c r="D59" s="22" t="s">
        <v>47</v>
      </c>
      <c r="E59" s="14" t="s">
        <v>48</v>
      </c>
      <c r="F59" s="14" t="s">
        <v>17</v>
      </c>
      <c r="G59" s="14" t="s">
        <v>17</v>
      </c>
      <c r="H59" s="14" t="s">
        <v>17</v>
      </c>
      <c r="I59" s="14" t="s">
        <v>35</v>
      </c>
      <c r="J59" s="14"/>
      <c r="K59" s="14"/>
    </row>
    <row r="60" spans="1:11" x14ac:dyDescent="0.2">
      <c r="B60" s="21" t="s">
        <v>44</v>
      </c>
      <c r="C60" s="22" t="s">
        <v>44</v>
      </c>
      <c r="D60" s="22" t="s">
        <v>31</v>
      </c>
      <c r="E60" s="14" t="s">
        <v>49</v>
      </c>
      <c r="F60" s="14" t="s">
        <v>7</v>
      </c>
      <c r="G60" s="14" t="s">
        <v>7</v>
      </c>
      <c r="H60" s="14" t="s">
        <v>7</v>
      </c>
      <c r="I60" s="14" t="s">
        <v>7</v>
      </c>
      <c r="J60" s="14"/>
      <c r="K60" s="14"/>
    </row>
    <row r="61" spans="1:11" x14ac:dyDescent="0.2">
      <c r="B61" s="21"/>
      <c r="C61" s="22"/>
      <c r="D61" s="22"/>
      <c r="E61" s="14"/>
      <c r="F61" s="14"/>
      <c r="G61" s="14"/>
    </row>
    <row r="62" spans="1:11" x14ac:dyDescent="0.2">
      <c r="A62" s="4">
        <f>'Baseline Inputs'!$C$8</f>
        <v>2022</v>
      </c>
      <c r="B62" s="23">
        <f>'Baseline Inputs'!B192</f>
        <v>0</v>
      </c>
      <c r="C62" s="23">
        <f>B62</f>
        <v>0</v>
      </c>
      <c r="D62" s="23">
        <f>B62*B51</f>
        <v>0</v>
      </c>
      <c r="E62" s="14">
        <f>B62*C51</f>
        <v>0</v>
      </c>
      <c r="F62" s="21">
        <f>C62*B42*12</f>
        <v>0</v>
      </c>
      <c r="G62" s="21">
        <f>D62 *C42 *12</f>
        <v>0</v>
      </c>
      <c r="H62" s="62">
        <f>E62 *D42*12</f>
        <v>0</v>
      </c>
      <c r="I62" s="62">
        <f>SUM(F62:H62)</f>
        <v>0</v>
      </c>
      <c r="J62" s="24"/>
      <c r="K62" s="5"/>
    </row>
    <row r="63" spans="1:11" x14ac:dyDescent="0.2">
      <c r="A63" s="4">
        <f>A62+1</f>
        <v>2023</v>
      </c>
      <c r="B63" s="23">
        <f>'Baseline Inputs'!C192</f>
        <v>0</v>
      </c>
      <c r="C63" s="23">
        <f>C62+B63</f>
        <v>0</v>
      </c>
      <c r="D63" s="23">
        <f>D62+B63*B52</f>
        <v>0</v>
      </c>
      <c r="E63" s="14">
        <f>E62+B63*C52</f>
        <v>0</v>
      </c>
      <c r="F63" s="21">
        <f>C63*B43*12</f>
        <v>0</v>
      </c>
      <c r="G63" s="21">
        <f>D63 *C43 *12</f>
        <v>0</v>
      </c>
      <c r="H63" s="62">
        <f>E63 *D43*12</f>
        <v>0</v>
      </c>
      <c r="I63" s="62">
        <f>SUM(F63:H63)</f>
        <v>0</v>
      </c>
      <c r="J63" s="24"/>
      <c r="K63" s="5"/>
    </row>
    <row r="64" spans="1:11" x14ac:dyDescent="0.2">
      <c r="A64" s="4">
        <f>A63+1</f>
        <v>2024</v>
      </c>
      <c r="B64" s="23">
        <f>'Baseline Inputs'!D192</f>
        <v>0</v>
      </c>
      <c r="C64" s="23">
        <f>C63+B64</f>
        <v>0</v>
      </c>
      <c r="D64" s="23">
        <f>D63+B64*B53</f>
        <v>0</v>
      </c>
      <c r="E64" s="14">
        <f>E63+B64*C53</f>
        <v>0</v>
      </c>
      <c r="F64" s="21">
        <f>C64*B44*12</f>
        <v>0</v>
      </c>
      <c r="G64" s="21">
        <f>D64 *C44 *12</f>
        <v>0</v>
      </c>
      <c r="H64" s="62">
        <f>E64 *D44*12</f>
        <v>0</v>
      </c>
      <c r="I64" s="62">
        <f>SUM(F64:H64)</f>
        <v>0</v>
      </c>
      <c r="J64" s="24"/>
      <c r="K64" s="5"/>
    </row>
    <row r="65" spans="1:11" x14ac:dyDescent="0.2">
      <c r="A65" s="4">
        <f>A64+1</f>
        <v>2025</v>
      </c>
      <c r="B65" s="23">
        <f>'Baseline Inputs'!E192</f>
        <v>0</v>
      </c>
      <c r="C65" s="23">
        <f>C64+B65</f>
        <v>0</v>
      </c>
      <c r="D65" s="23">
        <f>D64+B65*B54</f>
        <v>0</v>
      </c>
      <c r="E65" s="14">
        <f>E64+B65*C54</f>
        <v>0</v>
      </c>
      <c r="F65" s="21">
        <f>C65*B45*12</f>
        <v>0</v>
      </c>
      <c r="G65" s="21">
        <f>D65 *C45 *12</f>
        <v>0</v>
      </c>
      <c r="H65" s="62">
        <f>E65 *D45*12</f>
        <v>0</v>
      </c>
      <c r="I65" s="62">
        <f>SUM(F65:H65)</f>
        <v>0</v>
      </c>
      <c r="J65" s="24"/>
      <c r="K65" s="5"/>
    </row>
    <row r="66" spans="1:11" x14ac:dyDescent="0.2">
      <c r="A66" s="4">
        <f>A65+1</f>
        <v>2026</v>
      </c>
      <c r="B66" s="23">
        <f>'Baseline Inputs'!F192</f>
        <v>0</v>
      </c>
      <c r="C66" s="23">
        <f>C65+B66</f>
        <v>0</v>
      </c>
      <c r="D66" s="23">
        <f>D65+B66*B55</f>
        <v>0</v>
      </c>
      <c r="E66" s="14">
        <f>E65+B66*C55</f>
        <v>0</v>
      </c>
      <c r="F66" s="21">
        <f>C66*B46*12</f>
        <v>0</v>
      </c>
      <c r="G66" s="21">
        <f>D66 *C46 *12</f>
        <v>0</v>
      </c>
      <c r="H66" s="62">
        <f>E66 *D46*12</f>
        <v>0</v>
      </c>
      <c r="I66" s="62">
        <f>SUM(F66:H66)</f>
        <v>0</v>
      </c>
      <c r="J66" s="24"/>
      <c r="K66" s="5"/>
    </row>
    <row r="69" spans="1:11" x14ac:dyDescent="0.2">
      <c r="A69" s="20" t="s">
        <v>43</v>
      </c>
      <c r="B69" s="20" t="str">
        <f>'Baseline Inputs'!B43</f>
        <v>General Service &gt; 50</v>
      </c>
    </row>
    <row r="71" spans="1:11" x14ac:dyDescent="0.2">
      <c r="B71" s="4" t="s">
        <v>28</v>
      </c>
      <c r="D71"/>
    </row>
    <row r="72" spans="1:11" x14ac:dyDescent="0.2">
      <c r="B72" s="10" t="s">
        <v>17</v>
      </c>
      <c r="C72" s="375" t="s">
        <v>26</v>
      </c>
      <c r="D72" s="375"/>
    </row>
    <row r="73" spans="1:11" x14ac:dyDescent="0.2">
      <c r="B73" s="14" t="s">
        <v>16</v>
      </c>
      <c r="C73" s="14" t="s">
        <v>13</v>
      </c>
      <c r="D73" s="14" t="s">
        <v>27</v>
      </c>
    </row>
    <row r="74" spans="1:11" x14ac:dyDescent="0.2">
      <c r="A74" s="4">
        <f>'Baseline Inputs'!$C$8</f>
        <v>2022</v>
      </c>
      <c r="B74" s="21">
        <f>'Baseline Inputs'!B59</f>
        <v>38.07</v>
      </c>
      <c r="C74" s="22">
        <f>'Baseline Inputs'!C59</f>
        <v>5.7434000000000003</v>
      </c>
      <c r="D74" s="22">
        <f>'Baseline Inputs'!D59</f>
        <v>5.5598999999999998</v>
      </c>
    </row>
    <row r="75" spans="1:11" x14ac:dyDescent="0.2">
      <c r="A75" s="4">
        <f>A74+1</f>
        <v>2023</v>
      </c>
      <c r="B75" s="21">
        <f>IF('Baseline Inputs'!B72 = 0, B74, 'Baseline Inputs'!B72)</f>
        <v>39.326309999999999</v>
      </c>
      <c r="C75" s="22">
        <f>IF('Baseline Inputs'!C72 = 0, C74, 'Baseline Inputs'!C72)</f>
        <v>5.9329321999999998</v>
      </c>
      <c r="D75" s="22">
        <f>IF('Baseline Inputs'!D72 = 0, D74, 'Baseline Inputs'!D72)</f>
        <v>5.7433766999999998</v>
      </c>
      <c r="E75" s="23"/>
      <c r="F75" s="23"/>
      <c r="G75" s="23"/>
    </row>
    <row r="76" spans="1:11" x14ac:dyDescent="0.2">
      <c r="A76" s="4">
        <f>A75+1</f>
        <v>2024</v>
      </c>
      <c r="B76" s="21">
        <f>IF('Baseline Inputs'!$B$85 = 0, B75,'Baseline Inputs'!$B$85)</f>
        <v>40.112836199999997</v>
      </c>
      <c r="C76" s="22">
        <f>IF('Baseline Inputs'!$C$85 = 0, C75,'Baseline Inputs'!$C$85)</f>
        <v>6.0515908439999997</v>
      </c>
      <c r="D76" s="22">
        <f>IF('Baseline Inputs'!$D$85 = 0, D75,'Baseline Inputs'!$D$85)</f>
        <v>5.8582442339999998</v>
      </c>
      <c r="E76" s="23"/>
      <c r="F76" s="23"/>
      <c r="G76" s="23"/>
    </row>
    <row r="77" spans="1:11" x14ac:dyDescent="0.2">
      <c r="A77" s="4">
        <f>A76+1</f>
        <v>2025</v>
      </c>
      <c r="B77" s="21">
        <f>IF('Baseline Inputs'!$B$98 = 0, B76,'Baseline Inputs'!$B$98)</f>
        <v>40.915092924</v>
      </c>
      <c r="C77" s="22">
        <f>IF('Baseline Inputs'!$C$98 = 0, C76,'Baseline Inputs'!$C$98)</f>
        <v>6.1726226608800001</v>
      </c>
      <c r="D77" s="22">
        <f>IF('Baseline Inputs'!$D$98 = 0, D76,'Baseline Inputs'!$D$98)</f>
        <v>5.97540911868</v>
      </c>
      <c r="E77" s="23"/>
      <c r="F77" s="23"/>
      <c r="G77" s="23"/>
    </row>
    <row r="78" spans="1:11" x14ac:dyDescent="0.2">
      <c r="A78" s="4">
        <f>A77+1</f>
        <v>2026</v>
      </c>
      <c r="B78" s="21">
        <f>IF('Baseline Inputs'!$B$111 = 0, B77,'Baseline Inputs'!$B$111)</f>
        <v>41.733394782479998</v>
      </c>
      <c r="C78" s="22">
        <f>IF('Baseline Inputs'!$C$111 = 0, C77,'Baseline Inputs'!$C$111)</f>
        <v>6.2960751140975999</v>
      </c>
      <c r="D78" s="22">
        <f>IF('Baseline Inputs'!$D$111 = 0, D77,'Baseline Inputs'!$D$111)</f>
        <v>6.0949173010536004</v>
      </c>
      <c r="E78" s="23"/>
      <c r="F78" s="23"/>
      <c r="G78" s="23"/>
    </row>
    <row r="79" spans="1:11" x14ac:dyDescent="0.2">
      <c r="B79" s="21"/>
      <c r="C79" s="21"/>
      <c r="D79" s="21"/>
      <c r="E79" s="23"/>
      <c r="F79" s="23"/>
      <c r="G79" s="23"/>
    </row>
    <row r="80" spans="1:11" x14ac:dyDescent="0.2">
      <c r="B80" s="376" t="s">
        <v>29</v>
      </c>
      <c r="C80" s="376"/>
      <c r="D80" s="10"/>
      <c r="E80" s="23"/>
      <c r="F80" s="23"/>
      <c r="G80" s="23"/>
    </row>
    <row r="81" spans="1:11" x14ac:dyDescent="0.2">
      <c r="B81" s="375" t="s">
        <v>30</v>
      </c>
      <c r="C81" s="375"/>
      <c r="D81" s="10"/>
      <c r="E81" s="23"/>
      <c r="F81" s="23"/>
      <c r="G81" s="23"/>
    </row>
    <row r="82" spans="1:11" x14ac:dyDescent="0.2">
      <c r="B82" s="14" t="s">
        <v>31</v>
      </c>
      <c r="C82" s="14" t="s">
        <v>32</v>
      </c>
      <c r="E82" s="23"/>
      <c r="F82" s="23"/>
      <c r="G82" s="23"/>
    </row>
    <row r="83" spans="1:11" x14ac:dyDescent="0.2">
      <c r="A83" s="4">
        <f>'Baseline Inputs'!$C$8</f>
        <v>2022</v>
      </c>
      <c r="B83" s="23">
        <f>'Baseline Inputs'!B127</f>
        <v>46895.022696125852</v>
      </c>
      <c r="C83" s="23">
        <f>'Baseline Inputs'!C127</f>
        <v>0</v>
      </c>
      <c r="D83" s="23"/>
      <c r="E83" s="23"/>
      <c r="F83" s="23"/>
      <c r="G83" s="23"/>
    </row>
    <row r="84" spans="1:11" x14ac:dyDescent="0.2">
      <c r="A84" s="4">
        <f>A83+1</f>
        <v>2023</v>
      </c>
      <c r="B84" s="23">
        <f>IF('Baseline Inputs'!$B$140 = 0, B83,'Baseline Inputs'!$B$140)</f>
        <v>46895.022696125852</v>
      </c>
      <c r="C84" s="23">
        <f>IF('Baseline Inputs'!$C$140 = 0, C83,'Baseline Inputs'!$C$140)</f>
        <v>0</v>
      </c>
      <c r="D84" s="23"/>
      <c r="E84" s="23"/>
      <c r="F84" s="23"/>
      <c r="G84" s="23"/>
    </row>
    <row r="85" spans="1:11" x14ac:dyDescent="0.2">
      <c r="A85" s="4">
        <f>A84+1</f>
        <v>2024</v>
      </c>
      <c r="B85" s="23">
        <f>IF('Baseline Inputs'!$B$153 = 0, B84,'Baseline Inputs'!$B$153)</f>
        <v>46895.022696125852</v>
      </c>
      <c r="C85" s="23">
        <f>IF('Baseline Inputs'!$C$153 = 0, C84,'Baseline Inputs'!$C$153)</f>
        <v>0</v>
      </c>
      <c r="D85" s="23"/>
      <c r="E85" s="23"/>
      <c r="F85" s="23"/>
      <c r="G85" s="23"/>
    </row>
    <row r="86" spans="1:11" x14ac:dyDescent="0.2">
      <c r="A86" s="4">
        <f>A85+1</f>
        <v>2025</v>
      </c>
      <c r="B86" s="23">
        <f>IF('Baseline Inputs'!$B$166 = 0, B85,'Baseline Inputs'!$B$166)</f>
        <v>46895.022696125852</v>
      </c>
      <c r="C86" s="23">
        <f>IF('Baseline Inputs'!$C$166 = 0, C85,'Baseline Inputs'!$C$166)</f>
        <v>0</v>
      </c>
      <c r="D86" s="23"/>
      <c r="E86" s="23"/>
      <c r="F86" s="23"/>
      <c r="G86" s="23"/>
    </row>
    <row r="87" spans="1:11" x14ac:dyDescent="0.2">
      <c r="A87" s="4">
        <f>A86+1</f>
        <v>2026</v>
      </c>
      <c r="B87" s="23">
        <f>IF('Baseline Inputs'!$B$179 = 0, B86,'Baseline Inputs'!$B$179)</f>
        <v>46895.022696125852</v>
      </c>
      <c r="C87" s="23">
        <f>IF('Baseline Inputs'!$C$179 = 0, C86,'Baseline Inputs'!$C$179)</f>
        <v>0</v>
      </c>
      <c r="D87" s="23"/>
      <c r="E87" s="23"/>
      <c r="F87" s="23"/>
      <c r="G87" s="23"/>
    </row>
    <row r="88" spans="1:11" x14ac:dyDescent="0.2">
      <c r="B88" s="23"/>
      <c r="C88" s="23"/>
      <c r="D88" s="23"/>
      <c r="E88" s="23"/>
      <c r="F88" s="23"/>
      <c r="G88" s="23"/>
    </row>
    <row r="89" spans="1:11" x14ac:dyDescent="0.2">
      <c r="B89" s="21"/>
      <c r="C89" s="22"/>
      <c r="D89" s="22"/>
      <c r="E89" s="14"/>
      <c r="F89" s="14" t="s">
        <v>45</v>
      </c>
      <c r="G89" s="14" t="s">
        <v>45</v>
      </c>
      <c r="H89" s="14" t="s">
        <v>45</v>
      </c>
      <c r="K89" s="14"/>
    </row>
    <row r="90" spans="1:11" x14ac:dyDescent="0.2">
      <c r="B90" s="21"/>
      <c r="C90" s="22"/>
      <c r="D90" s="22" t="s">
        <v>51</v>
      </c>
      <c r="E90" s="14" t="s">
        <v>52</v>
      </c>
      <c r="F90" s="14" t="s">
        <v>50</v>
      </c>
      <c r="G90" s="14" t="s">
        <v>47</v>
      </c>
      <c r="H90" s="14" t="s">
        <v>48</v>
      </c>
      <c r="K90" s="14"/>
    </row>
    <row r="91" spans="1:11" x14ac:dyDescent="0.2">
      <c r="B91" s="21" t="s">
        <v>45</v>
      </c>
      <c r="C91" s="22" t="s">
        <v>46</v>
      </c>
      <c r="D91" s="22" t="s">
        <v>47</v>
      </c>
      <c r="E91" s="14" t="s">
        <v>48</v>
      </c>
      <c r="F91" s="14" t="s">
        <v>17</v>
      </c>
      <c r="G91" s="14" t="s">
        <v>17</v>
      </c>
      <c r="H91" s="14" t="s">
        <v>17</v>
      </c>
      <c r="I91" s="14" t="s">
        <v>35</v>
      </c>
      <c r="J91" s="14"/>
      <c r="K91" s="14"/>
    </row>
    <row r="92" spans="1:11" x14ac:dyDescent="0.2">
      <c r="B92" s="21" t="s">
        <v>44</v>
      </c>
      <c r="C92" s="22" t="s">
        <v>44</v>
      </c>
      <c r="D92" s="22" t="s">
        <v>31</v>
      </c>
      <c r="E92" s="14" t="s">
        <v>49</v>
      </c>
      <c r="F92" s="14" t="s">
        <v>7</v>
      </c>
      <c r="G92" s="14" t="s">
        <v>7</v>
      </c>
      <c r="H92" s="14" t="s">
        <v>7</v>
      </c>
      <c r="I92" s="14" t="s">
        <v>7</v>
      </c>
      <c r="J92" s="14"/>
      <c r="K92" s="14"/>
    </row>
    <row r="93" spans="1:11" x14ac:dyDescent="0.2">
      <c r="B93" s="21"/>
      <c r="C93" s="22"/>
      <c r="D93" s="22"/>
      <c r="E93" s="14"/>
      <c r="F93" s="14"/>
      <c r="G93" s="14"/>
    </row>
    <row r="94" spans="1:11" x14ac:dyDescent="0.2">
      <c r="A94" s="4">
        <f>'Baseline Inputs'!$C$8</f>
        <v>2022</v>
      </c>
      <c r="B94" s="23">
        <f>'Baseline Inputs'!B193</f>
        <v>0</v>
      </c>
      <c r="C94" s="23">
        <f>B94</f>
        <v>0</v>
      </c>
      <c r="D94" s="23">
        <f>B94*B83</f>
        <v>0</v>
      </c>
      <c r="E94" s="14">
        <f>B94*C83</f>
        <v>0</v>
      </c>
      <c r="F94" s="21">
        <f>C94*B74*12</f>
        <v>0</v>
      </c>
      <c r="G94" s="21">
        <f>D94 *C74 *12</f>
        <v>0</v>
      </c>
      <c r="H94" s="62">
        <f>E94 *D74*12</f>
        <v>0</v>
      </c>
      <c r="I94" s="62">
        <f>SUM(F94:H94)</f>
        <v>0</v>
      </c>
      <c r="J94" s="24"/>
      <c r="K94" s="5"/>
    </row>
    <row r="95" spans="1:11" x14ac:dyDescent="0.2">
      <c r="A95" s="4">
        <f>A94+1</f>
        <v>2023</v>
      </c>
      <c r="B95" s="23">
        <f>'Baseline Inputs'!C193</f>
        <v>0</v>
      </c>
      <c r="C95" s="23">
        <f>C94+B95</f>
        <v>0</v>
      </c>
      <c r="D95" s="23">
        <f>D94+B95*B84</f>
        <v>0</v>
      </c>
      <c r="E95" s="14">
        <f>E94+B95*C84</f>
        <v>0</v>
      </c>
      <c r="F95" s="21">
        <f>C95*B75*12</f>
        <v>0</v>
      </c>
      <c r="G95" s="21">
        <f>D95 *C75 *12</f>
        <v>0</v>
      </c>
      <c r="H95" s="62">
        <f>E95 *D75*12</f>
        <v>0</v>
      </c>
      <c r="I95" s="62">
        <f>SUM(F95:H95)</f>
        <v>0</v>
      </c>
      <c r="J95" s="24"/>
      <c r="K95" s="5"/>
    </row>
    <row r="96" spans="1:11" x14ac:dyDescent="0.2">
      <c r="A96" s="4">
        <f>A95+1</f>
        <v>2024</v>
      </c>
      <c r="B96" s="23">
        <f>'Baseline Inputs'!D193</f>
        <v>0</v>
      </c>
      <c r="C96" s="23">
        <f>C95+B96</f>
        <v>0</v>
      </c>
      <c r="D96" s="23">
        <f>D95+B96*B85</f>
        <v>0</v>
      </c>
      <c r="E96" s="14">
        <f>E95+B96*C85</f>
        <v>0</v>
      </c>
      <c r="F96" s="21">
        <f>C96*B76*12</f>
        <v>0</v>
      </c>
      <c r="G96" s="21">
        <f>D96 *C76 *12</f>
        <v>0</v>
      </c>
      <c r="H96" s="62">
        <f>E96 *D76*12</f>
        <v>0</v>
      </c>
      <c r="I96" s="62">
        <f>SUM(F96:H96)</f>
        <v>0</v>
      </c>
      <c r="J96" s="24"/>
      <c r="K96" s="5"/>
    </row>
    <row r="97" spans="1:11" x14ac:dyDescent="0.2">
      <c r="A97" s="4">
        <f>A96+1</f>
        <v>2025</v>
      </c>
      <c r="B97" s="23">
        <f>'Baseline Inputs'!E193</f>
        <v>0</v>
      </c>
      <c r="C97" s="23">
        <f>C96+B97</f>
        <v>0</v>
      </c>
      <c r="D97" s="23">
        <f>D96+B97*B86</f>
        <v>0</v>
      </c>
      <c r="E97" s="14">
        <f>E96+B97*C86</f>
        <v>0</v>
      </c>
      <c r="F97" s="21">
        <f>C97*B77*12</f>
        <v>0</v>
      </c>
      <c r="G97" s="21">
        <f>D97 *C77 *12</f>
        <v>0</v>
      </c>
      <c r="H97" s="62">
        <f>E97 *D77*12</f>
        <v>0</v>
      </c>
      <c r="I97" s="62">
        <f>SUM(F97:H97)</f>
        <v>0</v>
      </c>
      <c r="J97" s="24"/>
      <c r="K97" s="5"/>
    </row>
    <row r="98" spans="1:11" x14ac:dyDescent="0.2">
      <c r="A98" s="4">
        <f>A97+1</f>
        <v>2026</v>
      </c>
      <c r="B98" s="23">
        <f>'Baseline Inputs'!F193</f>
        <v>0</v>
      </c>
      <c r="C98" s="23">
        <f>C97+B98</f>
        <v>0</v>
      </c>
      <c r="D98" s="23">
        <f>D97+B98*B87</f>
        <v>0</v>
      </c>
      <c r="E98" s="14">
        <f>E97+B98*C87</f>
        <v>0</v>
      </c>
      <c r="F98" s="21">
        <f>C98*B78*12</f>
        <v>0</v>
      </c>
      <c r="G98" s="21">
        <f>D98 *C78 *12</f>
        <v>0</v>
      </c>
      <c r="H98" s="62">
        <f>E98 *D78*12</f>
        <v>0</v>
      </c>
      <c r="I98" s="62">
        <f>SUM(F98:H98)</f>
        <v>0</v>
      </c>
      <c r="J98" s="24"/>
      <c r="K98" s="5"/>
    </row>
    <row r="101" spans="1:11" x14ac:dyDescent="0.2">
      <c r="A101" s="20" t="s">
        <v>43</v>
      </c>
      <c r="B101" s="20" t="str">
        <f>'Baseline Inputs'!B44</f>
        <v xml:space="preserve">Unmetered Scattered Load </v>
      </c>
    </row>
    <row r="103" spans="1:11" x14ac:dyDescent="0.2">
      <c r="B103" s="4" t="s">
        <v>28</v>
      </c>
      <c r="D103"/>
    </row>
    <row r="104" spans="1:11" x14ac:dyDescent="0.2">
      <c r="B104" s="10" t="s">
        <v>17</v>
      </c>
      <c r="C104" s="375" t="s">
        <v>26</v>
      </c>
      <c r="D104" s="375"/>
    </row>
    <row r="105" spans="1:11" x14ac:dyDescent="0.2">
      <c r="B105" s="14" t="s">
        <v>16</v>
      </c>
      <c r="C105" s="14" t="s">
        <v>13</v>
      </c>
      <c r="D105" s="14" t="s">
        <v>27</v>
      </c>
    </row>
    <row r="106" spans="1:11" x14ac:dyDescent="0.2">
      <c r="A106" s="4">
        <f>'Baseline Inputs'!$C$8</f>
        <v>2022</v>
      </c>
      <c r="B106" s="21">
        <f>'Baseline Inputs'!B60</f>
        <v>4.79</v>
      </c>
      <c r="C106" s="22">
        <f>'Baseline Inputs'!C60</f>
        <v>9.5999999999999992E-3</v>
      </c>
      <c r="D106" s="22">
        <f>'Baseline Inputs'!D60</f>
        <v>0</v>
      </c>
    </row>
    <row r="107" spans="1:11" x14ac:dyDescent="0.2">
      <c r="A107" s="4">
        <f>A106+1</f>
        <v>2023</v>
      </c>
      <c r="B107" s="21">
        <f>IF('Baseline Inputs'!$B$73=0,B106,'Baseline Inputs'!$B$73)</f>
        <v>4.9480699999999995</v>
      </c>
      <c r="C107" s="22">
        <f>IF('Baseline Inputs'!$C$73=0,C106,'Baseline Inputs'!$C$73)</f>
        <v>9.9167999999999982E-3</v>
      </c>
      <c r="D107" s="22">
        <f>IF('Baseline Inputs'!$D$73=0,D106,'Baseline Inputs'!$D$73)</f>
        <v>0</v>
      </c>
      <c r="E107" s="23"/>
      <c r="F107" s="23"/>
      <c r="G107" s="23"/>
    </row>
    <row r="108" spans="1:11" x14ac:dyDescent="0.2">
      <c r="A108" s="4">
        <f>A107+1</f>
        <v>2024</v>
      </c>
      <c r="B108" s="21">
        <f>IF('Baseline Inputs'!$B$86 = 0, B107,'Baseline Inputs'!$B$86)</f>
        <v>5.0470313999999998</v>
      </c>
      <c r="C108" s="22">
        <f>IF('Baseline Inputs'!$C$86 = 0, C107,'Baseline Inputs'!$C$86)</f>
        <v>1.0115135999999999E-2</v>
      </c>
      <c r="D108" s="22">
        <f>IF('Baseline Inputs'!$D$86 = 0, D107,'Baseline Inputs'!$D$86)</f>
        <v>0</v>
      </c>
      <c r="E108" s="23"/>
      <c r="F108" s="23"/>
      <c r="G108" s="23"/>
    </row>
    <row r="109" spans="1:11" x14ac:dyDescent="0.2">
      <c r="A109" s="4">
        <f>A108+1</f>
        <v>2025</v>
      </c>
      <c r="B109" s="21">
        <f>IF('Baseline Inputs'!$B$99 = 0, B108,'Baseline Inputs'!$B$99)</f>
        <v>5.1479720279999999</v>
      </c>
      <c r="C109" s="22">
        <f>IF('Baseline Inputs'!$C$99 = 0, C108,'Baseline Inputs'!$C$99)</f>
        <v>1.0317438719999999E-2</v>
      </c>
      <c r="D109" s="22">
        <f>IF('Baseline Inputs'!$D$99 = 0, D108,'Baseline Inputs'!$D$99)</f>
        <v>0</v>
      </c>
      <c r="E109" s="23"/>
      <c r="F109" s="23"/>
      <c r="G109" s="23"/>
    </row>
    <row r="110" spans="1:11" x14ac:dyDescent="0.2">
      <c r="A110" s="4">
        <f>A109+1</f>
        <v>2026</v>
      </c>
      <c r="B110" s="21">
        <f>IF('Baseline Inputs'!$B$112 = 0, B109,'Baseline Inputs'!$B$112)</f>
        <v>5.2509314685600001</v>
      </c>
      <c r="C110" s="22">
        <f>IF('Baseline Inputs'!$C$112 = 0, C109,'Baseline Inputs'!$C$112)</f>
        <v>1.05237874944E-2</v>
      </c>
      <c r="D110" s="22">
        <f>IF('Baseline Inputs'!$D$112 = 0, D109,'Baseline Inputs'!$D$112)</f>
        <v>0</v>
      </c>
      <c r="E110" s="23"/>
      <c r="F110" s="23"/>
      <c r="G110" s="23"/>
    </row>
    <row r="111" spans="1:11" x14ac:dyDescent="0.2">
      <c r="B111" s="21"/>
      <c r="C111" s="21"/>
      <c r="D111" s="21"/>
      <c r="E111" s="23"/>
      <c r="F111" s="23"/>
      <c r="G111" s="23"/>
    </row>
    <row r="112" spans="1:11" x14ac:dyDescent="0.2">
      <c r="B112" s="376" t="s">
        <v>29</v>
      </c>
      <c r="C112" s="376"/>
      <c r="D112" s="10"/>
      <c r="E112" s="23"/>
      <c r="F112" s="23"/>
      <c r="G112" s="23"/>
    </row>
    <row r="113" spans="1:11" x14ac:dyDescent="0.2">
      <c r="B113" s="375" t="s">
        <v>30</v>
      </c>
      <c r="C113" s="375"/>
      <c r="D113" s="10"/>
      <c r="E113" s="23"/>
      <c r="F113" s="23"/>
      <c r="G113" s="23"/>
    </row>
    <row r="114" spans="1:11" x14ac:dyDescent="0.2">
      <c r="B114" s="14" t="s">
        <v>31</v>
      </c>
      <c r="C114" s="14" t="s">
        <v>32</v>
      </c>
      <c r="E114" s="23"/>
      <c r="F114" s="23"/>
      <c r="G114" s="23"/>
    </row>
    <row r="115" spans="1:11" x14ac:dyDescent="0.2">
      <c r="A115" s="4">
        <f>'Baseline Inputs'!$C$8</f>
        <v>2022</v>
      </c>
      <c r="B115" s="23">
        <f>'Baseline Inputs'!B128</f>
        <v>367.70915296860949</v>
      </c>
      <c r="C115" s="23">
        <f>'Baseline Inputs'!C128</f>
        <v>0</v>
      </c>
      <c r="D115" s="23"/>
      <c r="E115" s="14"/>
      <c r="F115" s="14"/>
      <c r="G115" s="14"/>
    </row>
    <row r="116" spans="1:11" x14ac:dyDescent="0.2">
      <c r="A116" s="4">
        <f>A115+1</f>
        <v>2023</v>
      </c>
      <c r="B116" s="23">
        <f>IF('Baseline Inputs'!$B$141 = 0, B115,'Baseline Inputs'!$B$141)</f>
        <v>367.70915296860949</v>
      </c>
      <c r="C116" s="23">
        <f>IF('Baseline Inputs'!$C$141 = 0, C115,'Baseline Inputs'!$C$141)</f>
        <v>0</v>
      </c>
      <c r="D116" s="23"/>
      <c r="E116" s="14"/>
      <c r="F116" s="14"/>
      <c r="G116" s="14"/>
    </row>
    <row r="117" spans="1:11" x14ac:dyDescent="0.2">
      <c r="A117" s="4">
        <f>A116+1</f>
        <v>2024</v>
      </c>
      <c r="B117" s="23">
        <f>IF('Baseline Inputs'!$B$154 = 0, B116,'Baseline Inputs'!$B$154)</f>
        <v>367.70915296860949</v>
      </c>
      <c r="C117" s="23">
        <f>IF('Baseline Inputs'!$C$154 = 0, C116,'Baseline Inputs'!$C$154)</f>
        <v>0</v>
      </c>
      <c r="D117" s="23"/>
      <c r="E117" s="14"/>
      <c r="F117" s="14"/>
      <c r="G117" s="14"/>
    </row>
    <row r="118" spans="1:11" x14ac:dyDescent="0.2">
      <c r="A118" s="4">
        <f>A117+1</f>
        <v>2025</v>
      </c>
      <c r="B118" s="23">
        <f>IF('Baseline Inputs'!$B$167 = 0, B117,'Baseline Inputs'!$B$167)</f>
        <v>367.70915296860949</v>
      </c>
      <c r="C118" s="23">
        <f>IF('Baseline Inputs'!$C$167 = 0, C117,'Baseline Inputs'!$C$167)</f>
        <v>0</v>
      </c>
      <c r="D118" s="23"/>
      <c r="E118" s="14"/>
      <c r="F118" s="14"/>
      <c r="G118" s="14"/>
    </row>
    <row r="119" spans="1:11" x14ac:dyDescent="0.2">
      <c r="A119" s="4">
        <f>A118+1</f>
        <v>2026</v>
      </c>
      <c r="B119" s="23">
        <f>IF('Baseline Inputs'!$B$180 = 0, B118,'Baseline Inputs'!$B$180)</f>
        <v>367.70915296860949</v>
      </c>
      <c r="C119" s="23">
        <f>IF('Baseline Inputs'!$C$180 = 0, C118,'Baseline Inputs'!$C$180)</f>
        <v>0</v>
      </c>
      <c r="D119" s="23"/>
      <c r="E119" s="14"/>
      <c r="F119" s="14"/>
      <c r="G119" s="14"/>
    </row>
    <row r="120" spans="1:11" x14ac:dyDescent="0.2">
      <c r="B120" s="23"/>
      <c r="C120" s="23"/>
      <c r="D120" s="23"/>
      <c r="E120" s="14"/>
      <c r="F120" s="14"/>
      <c r="G120" s="14"/>
    </row>
    <row r="121" spans="1:11" x14ac:dyDescent="0.2">
      <c r="B121" s="21"/>
      <c r="C121" s="22"/>
      <c r="D121" s="22"/>
      <c r="E121" s="14"/>
      <c r="F121" s="14" t="s">
        <v>45</v>
      </c>
      <c r="G121" s="14" t="s">
        <v>45</v>
      </c>
      <c r="H121" s="14" t="s">
        <v>45</v>
      </c>
      <c r="K121" s="14"/>
    </row>
    <row r="122" spans="1:11" x14ac:dyDescent="0.2">
      <c r="B122" s="21"/>
      <c r="C122" s="22"/>
      <c r="D122" s="22" t="s">
        <v>51</v>
      </c>
      <c r="E122" s="14" t="s">
        <v>52</v>
      </c>
      <c r="F122" s="14" t="s">
        <v>50</v>
      </c>
      <c r="G122" s="14" t="s">
        <v>47</v>
      </c>
      <c r="H122" s="14" t="s">
        <v>48</v>
      </c>
      <c r="K122" s="14"/>
    </row>
    <row r="123" spans="1:11" x14ac:dyDescent="0.2">
      <c r="B123" s="21" t="s">
        <v>45</v>
      </c>
      <c r="C123" s="22" t="s">
        <v>46</v>
      </c>
      <c r="D123" s="22" t="s">
        <v>47</v>
      </c>
      <c r="E123" s="14" t="s">
        <v>48</v>
      </c>
      <c r="F123" s="14" t="s">
        <v>17</v>
      </c>
      <c r="G123" s="14" t="s">
        <v>17</v>
      </c>
      <c r="H123" s="14" t="s">
        <v>17</v>
      </c>
      <c r="I123" s="14" t="s">
        <v>35</v>
      </c>
      <c r="J123" s="14"/>
      <c r="K123" s="14"/>
    </row>
    <row r="124" spans="1:11" x14ac:dyDescent="0.2">
      <c r="B124" s="21" t="s">
        <v>44</v>
      </c>
      <c r="C124" s="22" t="s">
        <v>44</v>
      </c>
      <c r="D124" s="22" t="s">
        <v>31</v>
      </c>
      <c r="E124" s="14" t="s">
        <v>49</v>
      </c>
      <c r="F124" s="14" t="s">
        <v>7</v>
      </c>
      <c r="G124" s="14" t="s">
        <v>7</v>
      </c>
      <c r="H124" s="14" t="s">
        <v>7</v>
      </c>
      <c r="I124" s="14" t="s">
        <v>7</v>
      </c>
      <c r="J124" s="14"/>
      <c r="K124" s="14"/>
    </row>
    <row r="125" spans="1:11" x14ac:dyDescent="0.2">
      <c r="B125" s="21"/>
      <c r="C125" s="22"/>
      <c r="D125" s="22"/>
      <c r="E125" s="14"/>
      <c r="F125" s="14"/>
      <c r="G125" s="14"/>
    </row>
    <row r="126" spans="1:11" x14ac:dyDescent="0.2">
      <c r="A126" s="4">
        <f>'Baseline Inputs'!$C$8</f>
        <v>2022</v>
      </c>
      <c r="B126" s="23">
        <f>'Baseline Inputs'!B194</f>
        <v>0</v>
      </c>
      <c r="C126" s="23">
        <f>B126</f>
        <v>0</v>
      </c>
      <c r="D126" s="23">
        <f>B126*B115</f>
        <v>0</v>
      </c>
      <c r="E126" s="14">
        <f>B126*C115</f>
        <v>0</v>
      </c>
      <c r="F126" s="21">
        <f>C126*B106*12</f>
        <v>0</v>
      </c>
      <c r="G126" s="21">
        <f>D126 *C106 *12</f>
        <v>0</v>
      </c>
      <c r="H126" s="62">
        <f>E126 *D106*12</f>
        <v>0</v>
      </c>
      <c r="I126" s="62">
        <f>SUM(F126:H126)</f>
        <v>0</v>
      </c>
      <c r="J126" s="24"/>
      <c r="K126" s="5"/>
    </row>
    <row r="127" spans="1:11" x14ac:dyDescent="0.2">
      <c r="A127" s="4">
        <f>A126+1</f>
        <v>2023</v>
      </c>
      <c r="B127" s="23">
        <f>'Baseline Inputs'!C194</f>
        <v>0</v>
      </c>
      <c r="C127" s="23">
        <f>C126+B127</f>
        <v>0</v>
      </c>
      <c r="D127" s="23">
        <f>D126+B127*B116</f>
        <v>0</v>
      </c>
      <c r="E127" s="14">
        <f>E126+B127*C116</f>
        <v>0</v>
      </c>
      <c r="F127" s="21">
        <f>C127*B107*12</f>
        <v>0</v>
      </c>
      <c r="G127" s="21">
        <f>D127 *C107 *12</f>
        <v>0</v>
      </c>
      <c r="H127" s="62">
        <f>E127 *D107*12</f>
        <v>0</v>
      </c>
      <c r="I127" s="62">
        <f>SUM(F127:H127)</f>
        <v>0</v>
      </c>
      <c r="J127" s="24"/>
      <c r="K127" s="5"/>
    </row>
    <row r="128" spans="1:11" x14ac:dyDescent="0.2">
      <c r="A128" s="4">
        <f>A127+1</f>
        <v>2024</v>
      </c>
      <c r="B128" s="23">
        <f>'Baseline Inputs'!D194</f>
        <v>0</v>
      </c>
      <c r="C128" s="23">
        <f>C127+B128</f>
        <v>0</v>
      </c>
      <c r="D128" s="23">
        <f>D127+B128*B117</f>
        <v>0</v>
      </c>
      <c r="E128" s="14">
        <f>E127+B128*C117</f>
        <v>0</v>
      </c>
      <c r="F128" s="21">
        <f>C128*B108*12</f>
        <v>0</v>
      </c>
      <c r="G128" s="21">
        <f>D128 *C108 *12</f>
        <v>0</v>
      </c>
      <c r="H128" s="62">
        <f>E128 *D108*12</f>
        <v>0</v>
      </c>
      <c r="I128" s="62">
        <f>SUM(F128:H128)</f>
        <v>0</v>
      </c>
      <c r="J128" s="24"/>
      <c r="K128" s="5"/>
    </row>
    <row r="129" spans="1:11" x14ac:dyDescent="0.2">
      <c r="A129" s="4">
        <f>A128+1</f>
        <v>2025</v>
      </c>
      <c r="B129" s="23">
        <f>'Baseline Inputs'!E194</f>
        <v>0</v>
      </c>
      <c r="C129" s="23">
        <f>C128+B129</f>
        <v>0</v>
      </c>
      <c r="D129" s="23">
        <f>D128+B129*B118</f>
        <v>0</v>
      </c>
      <c r="E129" s="14">
        <f>E128+B129*C118</f>
        <v>0</v>
      </c>
      <c r="F129" s="21">
        <f>C129*B109*12</f>
        <v>0</v>
      </c>
      <c r="G129" s="21">
        <f>D129 *C109 *12</f>
        <v>0</v>
      </c>
      <c r="H129" s="62">
        <f>E129 *D109*12</f>
        <v>0</v>
      </c>
      <c r="I129" s="62">
        <f>SUM(F129:H129)</f>
        <v>0</v>
      </c>
      <c r="J129" s="24"/>
      <c r="K129" s="5"/>
    </row>
    <row r="130" spans="1:11" x14ac:dyDescent="0.2">
      <c r="A130" s="4">
        <f>A129+1</f>
        <v>2026</v>
      </c>
      <c r="B130" s="23">
        <f>'Baseline Inputs'!F194</f>
        <v>0</v>
      </c>
      <c r="C130" s="23">
        <f>C129+B130</f>
        <v>0</v>
      </c>
      <c r="D130" s="23">
        <f>D129+B130*B119</f>
        <v>0</v>
      </c>
      <c r="E130" s="14">
        <f>E129+B130*C119</f>
        <v>0</v>
      </c>
      <c r="F130" s="21">
        <f>C130*B110*12</f>
        <v>0</v>
      </c>
      <c r="G130" s="21">
        <f>D130 *C110 *12</f>
        <v>0</v>
      </c>
      <c r="H130" s="62">
        <f>E130 *D110*12</f>
        <v>0</v>
      </c>
      <c r="I130" s="62">
        <f>SUM(F130:H130)</f>
        <v>0</v>
      </c>
      <c r="J130" s="24"/>
      <c r="K130" s="5"/>
    </row>
    <row r="133" spans="1:11" x14ac:dyDescent="0.2">
      <c r="A133" s="20" t="s">
        <v>43</v>
      </c>
      <c r="B133" s="20">
        <f>'Baseline Inputs'!B45</f>
        <v>0</v>
      </c>
    </row>
    <row r="135" spans="1:11" x14ac:dyDescent="0.2">
      <c r="B135" s="4" t="s">
        <v>28</v>
      </c>
      <c r="D135"/>
    </row>
    <row r="136" spans="1:11" x14ac:dyDescent="0.2">
      <c r="B136" s="10" t="s">
        <v>17</v>
      </c>
      <c r="C136" s="375" t="s">
        <v>26</v>
      </c>
      <c r="D136" s="375"/>
    </row>
    <row r="137" spans="1:11" x14ac:dyDescent="0.2">
      <c r="B137" s="14" t="s">
        <v>16</v>
      </c>
      <c r="C137" s="14" t="s">
        <v>13</v>
      </c>
      <c r="D137" s="14" t="s">
        <v>27</v>
      </c>
    </row>
    <row r="138" spans="1:11" x14ac:dyDescent="0.2">
      <c r="A138" s="4">
        <f>'Baseline Inputs'!$C$8</f>
        <v>2022</v>
      </c>
      <c r="B138" s="21">
        <f>'Baseline Inputs'!$B$61</f>
        <v>0</v>
      </c>
      <c r="C138" s="22">
        <f>'Baseline Inputs'!$C$61</f>
        <v>0</v>
      </c>
      <c r="D138" s="22">
        <f>'Baseline Inputs'!$D$61</f>
        <v>0</v>
      </c>
    </row>
    <row r="139" spans="1:11" x14ac:dyDescent="0.2">
      <c r="A139" s="4">
        <f>A138+1</f>
        <v>2023</v>
      </c>
      <c r="B139" s="21">
        <f>IF('Baseline Inputs'!$B$74=0,B138,'Baseline Inputs'!$B$74)</f>
        <v>0</v>
      </c>
      <c r="C139" s="22">
        <f>IF('Baseline Inputs'!$C$74=0,C138,'Baseline Inputs'!$C$74)</f>
        <v>0</v>
      </c>
      <c r="D139" s="22">
        <f>IF('Baseline Inputs'!$D$74=0,D138,'Baseline Inputs'!$D$74)</f>
        <v>0</v>
      </c>
      <c r="E139" s="23"/>
      <c r="F139" s="23"/>
      <c r="G139" s="23"/>
    </row>
    <row r="140" spans="1:11" x14ac:dyDescent="0.2">
      <c r="A140" s="4">
        <f>A139+1</f>
        <v>2024</v>
      </c>
      <c r="B140" s="21">
        <f>IF('Baseline Inputs'!$B$87 = 0, B139,'Baseline Inputs'!$B$87)</f>
        <v>0</v>
      </c>
      <c r="C140" s="22">
        <f>IF('Baseline Inputs'!$C$87 = 0, C139,'Baseline Inputs'!$C$87)</f>
        <v>0</v>
      </c>
      <c r="D140" s="22">
        <f>IF('Baseline Inputs'!$D$87 = 0, D139,'Baseline Inputs'!$D$87)</f>
        <v>0</v>
      </c>
      <c r="E140" s="23"/>
      <c r="F140" s="23"/>
      <c r="G140" s="23"/>
    </row>
    <row r="141" spans="1:11" x14ac:dyDescent="0.2">
      <c r="A141" s="4">
        <f>A140+1</f>
        <v>2025</v>
      </c>
      <c r="B141" s="21">
        <f>IF('Baseline Inputs'!$B$100 = 0, B140,'Baseline Inputs'!$B$100)</f>
        <v>0</v>
      </c>
      <c r="C141" s="22">
        <f>IF('Baseline Inputs'!$C$100 = 0, C140,'Baseline Inputs'!$C$100)</f>
        <v>0</v>
      </c>
      <c r="D141" s="22">
        <f>IF('Baseline Inputs'!$D$100 = 0, D140,'Baseline Inputs'!$D$100)</f>
        <v>0</v>
      </c>
      <c r="E141" s="23"/>
      <c r="F141" s="23"/>
      <c r="G141" s="23"/>
    </row>
    <row r="142" spans="1:11" x14ac:dyDescent="0.2">
      <c r="A142" s="4">
        <f>A141+1</f>
        <v>2026</v>
      </c>
      <c r="B142" s="21">
        <f>IF('Baseline Inputs'!$B$113 = 0, B141,'Baseline Inputs'!$B$113)</f>
        <v>0</v>
      </c>
      <c r="C142" s="22">
        <f>IF('Baseline Inputs'!$C$113 = 0, C141,'Baseline Inputs'!$C$113)</f>
        <v>0</v>
      </c>
      <c r="D142" s="22">
        <f>IF('Baseline Inputs'!$D$113 = 0, D141,'Baseline Inputs'!$D$113)</f>
        <v>0</v>
      </c>
      <c r="E142" s="23"/>
      <c r="F142" s="23"/>
      <c r="G142" s="23"/>
    </row>
    <row r="143" spans="1:11" x14ac:dyDescent="0.2">
      <c r="A143"/>
      <c r="B143" s="62"/>
      <c r="C143" s="62"/>
      <c r="D143" s="62"/>
      <c r="E143" s="23"/>
      <c r="F143" s="23"/>
      <c r="G143" s="23"/>
    </row>
    <row r="144" spans="1:11" x14ac:dyDescent="0.2">
      <c r="A144"/>
      <c r="B144" s="376" t="s">
        <v>29</v>
      </c>
      <c r="C144" s="376"/>
      <c r="D144" s="10"/>
      <c r="E144" s="23"/>
      <c r="F144" s="23"/>
      <c r="G144" s="23"/>
    </row>
    <row r="145" spans="1:11" x14ac:dyDescent="0.2">
      <c r="A145"/>
      <c r="B145" s="375" t="s">
        <v>30</v>
      </c>
      <c r="C145" s="375"/>
      <c r="D145" s="10"/>
      <c r="E145" s="23"/>
      <c r="F145" s="23"/>
      <c r="G145" s="23"/>
    </row>
    <row r="146" spans="1:11" x14ac:dyDescent="0.2">
      <c r="A146"/>
      <c r="B146" s="14" t="s">
        <v>31</v>
      </c>
      <c r="C146" s="14" t="s">
        <v>32</v>
      </c>
      <c r="E146" s="23"/>
      <c r="F146" s="23"/>
      <c r="G146" s="23"/>
    </row>
    <row r="147" spans="1:11" x14ac:dyDescent="0.2">
      <c r="A147" s="4">
        <f>'Baseline Inputs'!$C$8</f>
        <v>2022</v>
      </c>
      <c r="B147" s="23">
        <f>'Baseline Inputs'!$B$129</f>
        <v>0</v>
      </c>
      <c r="C147" s="23">
        <f>'Baseline Inputs'!$C$129</f>
        <v>0</v>
      </c>
      <c r="D147" s="23"/>
      <c r="E147" s="14"/>
      <c r="F147" s="14"/>
      <c r="G147" s="14"/>
    </row>
    <row r="148" spans="1:11" x14ac:dyDescent="0.2">
      <c r="A148" s="4">
        <f>A147+1</f>
        <v>2023</v>
      </c>
      <c r="B148" s="23">
        <f>IF('Baseline Inputs'!$B$142 = 0, B147,'Baseline Inputs'!$B$142)</f>
        <v>0</v>
      </c>
      <c r="C148" s="23">
        <f>IF('Baseline Inputs'!$C$142 = 0, C147,'Baseline Inputs'!$C$142)</f>
        <v>0</v>
      </c>
      <c r="D148" s="23"/>
      <c r="E148" s="14"/>
      <c r="F148" s="14"/>
      <c r="G148" s="14"/>
    </row>
    <row r="149" spans="1:11" x14ac:dyDescent="0.2">
      <c r="A149" s="4">
        <f>A148+1</f>
        <v>2024</v>
      </c>
      <c r="B149" s="23">
        <f>IF('Baseline Inputs'!$B$155 = 0, B148,'Baseline Inputs'!$B$155)</f>
        <v>0</v>
      </c>
      <c r="C149" s="23">
        <f>IF('Baseline Inputs'!$C$155 = 0, C148,'Baseline Inputs'!$C$155)</f>
        <v>0</v>
      </c>
      <c r="D149" s="23"/>
      <c r="E149" s="14"/>
      <c r="F149" s="14"/>
      <c r="G149" s="14"/>
    </row>
    <row r="150" spans="1:11" x14ac:dyDescent="0.2">
      <c r="A150" s="4">
        <f>A149+1</f>
        <v>2025</v>
      </c>
      <c r="B150" s="23">
        <f>IF('Baseline Inputs'!$B$168 = 0, B149,'Baseline Inputs'!$B$168)</f>
        <v>0</v>
      </c>
      <c r="C150" s="23">
        <f>IF('Baseline Inputs'!$C$168 = 0, C149,'Baseline Inputs'!$C$168)</f>
        <v>0</v>
      </c>
      <c r="D150" s="23"/>
      <c r="E150" s="14"/>
      <c r="F150" s="14"/>
      <c r="G150" s="14"/>
    </row>
    <row r="151" spans="1:11" x14ac:dyDescent="0.2">
      <c r="A151" s="4">
        <f>A150+1</f>
        <v>2026</v>
      </c>
      <c r="B151" s="23">
        <f>IF('Baseline Inputs'!$B$181 = 0, B150,'Baseline Inputs'!$B$181)</f>
        <v>0</v>
      </c>
      <c r="C151" s="23">
        <f>IF('Baseline Inputs'!$C$181 = 0, C150,'Baseline Inputs'!$C$181)</f>
        <v>0</v>
      </c>
      <c r="D151" s="23"/>
      <c r="E151" s="14"/>
      <c r="F151" s="14"/>
      <c r="G151" s="14"/>
    </row>
    <row r="152" spans="1:11" x14ac:dyDescent="0.2">
      <c r="B152" s="23"/>
      <c r="C152" s="23"/>
      <c r="D152" s="23"/>
      <c r="E152" s="14"/>
      <c r="F152" s="14"/>
      <c r="G152" s="14"/>
    </row>
    <row r="153" spans="1:11" x14ac:dyDescent="0.2">
      <c r="B153" s="21"/>
      <c r="C153" s="22"/>
      <c r="D153" s="22"/>
      <c r="E153" s="14"/>
      <c r="F153" s="14" t="s">
        <v>45</v>
      </c>
      <c r="G153" s="14" t="s">
        <v>45</v>
      </c>
      <c r="H153" s="14" t="s">
        <v>45</v>
      </c>
      <c r="K153" s="14"/>
    </row>
    <row r="154" spans="1:11" x14ac:dyDescent="0.2">
      <c r="B154" s="21"/>
      <c r="C154" s="22"/>
      <c r="D154" s="22" t="s">
        <v>51</v>
      </c>
      <c r="E154" s="14" t="s">
        <v>52</v>
      </c>
      <c r="F154" s="14" t="s">
        <v>50</v>
      </c>
      <c r="G154" s="14" t="s">
        <v>47</v>
      </c>
      <c r="H154" s="14" t="s">
        <v>48</v>
      </c>
      <c r="K154" s="14"/>
    </row>
    <row r="155" spans="1:11" x14ac:dyDescent="0.2">
      <c r="B155" s="21" t="s">
        <v>45</v>
      </c>
      <c r="C155" s="22" t="s">
        <v>46</v>
      </c>
      <c r="D155" s="22" t="s">
        <v>47</v>
      </c>
      <c r="E155" s="14" t="s">
        <v>48</v>
      </c>
      <c r="F155" s="14" t="s">
        <v>17</v>
      </c>
      <c r="G155" s="14" t="s">
        <v>17</v>
      </c>
      <c r="H155" s="14" t="s">
        <v>17</v>
      </c>
      <c r="I155" s="14" t="s">
        <v>35</v>
      </c>
      <c r="J155" s="14"/>
      <c r="K155" s="14"/>
    </row>
    <row r="156" spans="1:11" x14ac:dyDescent="0.2">
      <c r="B156" s="21" t="s">
        <v>44</v>
      </c>
      <c r="C156" s="22" t="s">
        <v>44</v>
      </c>
      <c r="D156" s="22" t="s">
        <v>31</v>
      </c>
      <c r="E156" s="14" t="s">
        <v>49</v>
      </c>
      <c r="F156" s="14" t="s">
        <v>7</v>
      </c>
      <c r="G156" s="14" t="s">
        <v>7</v>
      </c>
      <c r="H156" s="14" t="s">
        <v>7</v>
      </c>
      <c r="I156" s="14" t="s">
        <v>7</v>
      </c>
      <c r="J156" s="14"/>
      <c r="K156" s="14"/>
    </row>
    <row r="157" spans="1:11" x14ac:dyDescent="0.2">
      <c r="B157" s="21"/>
      <c r="C157" s="22"/>
      <c r="D157" s="22"/>
      <c r="E157" s="14"/>
      <c r="F157" s="14"/>
      <c r="G157" s="14"/>
    </row>
    <row r="158" spans="1:11" x14ac:dyDescent="0.2">
      <c r="A158" s="4">
        <f>'Baseline Inputs'!$C$8</f>
        <v>2022</v>
      </c>
      <c r="B158" s="23">
        <f>'Baseline Inputs'!$B$195</f>
        <v>0</v>
      </c>
      <c r="C158" s="23">
        <f>B158</f>
        <v>0</v>
      </c>
      <c r="D158" s="23">
        <f>B158*B147</f>
        <v>0</v>
      </c>
      <c r="E158" s="14">
        <f>B158*C147</f>
        <v>0</v>
      </c>
      <c r="F158" s="21">
        <f>C158*B138*12</f>
        <v>0</v>
      </c>
      <c r="G158" s="21">
        <f>D158 *C138 *12</f>
        <v>0</v>
      </c>
      <c r="H158" s="62">
        <f>E158 *D138*12</f>
        <v>0</v>
      </c>
      <c r="I158" s="62">
        <f>SUM(F158:H158)</f>
        <v>0</v>
      </c>
      <c r="J158" s="24"/>
      <c r="K158" s="5"/>
    </row>
    <row r="159" spans="1:11" x14ac:dyDescent="0.2">
      <c r="A159" s="4">
        <f>A158+1</f>
        <v>2023</v>
      </c>
      <c r="B159" s="23">
        <f>'Baseline Inputs'!$C$195</f>
        <v>0</v>
      </c>
      <c r="C159" s="23">
        <f>C158+B159</f>
        <v>0</v>
      </c>
      <c r="D159" s="23">
        <f>D158+B159*B148</f>
        <v>0</v>
      </c>
      <c r="E159" s="14">
        <f>E158+B159*C148</f>
        <v>0</v>
      </c>
      <c r="F159" s="21">
        <f>C159*B139*12</f>
        <v>0</v>
      </c>
      <c r="G159" s="21">
        <f>D159 *C139 *12</f>
        <v>0</v>
      </c>
      <c r="H159" s="62">
        <f>E159 *D139*12</f>
        <v>0</v>
      </c>
      <c r="I159" s="62">
        <f>SUM(F159:H159)</f>
        <v>0</v>
      </c>
      <c r="J159" s="24"/>
      <c r="K159" s="5"/>
    </row>
    <row r="160" spans="1:11" x14ac:dyDescent="0.2">
      <c r="A160" s="4">
        <f>A159+1</f>
        <v>2024</v>
      </c>
      <c r="B160" s="23">
        <f>'Baseline Inputs'!$D$195</f>
        <v>0</v>
      </c>
      <c r="C160" s="23">
        <f>C159+B160</f>
        <v>0</v>
      </c>
      <c r="D160" s="23">
        <f>D159+B160*B149</f>
        <v>0</v>
      </c>
      <c r="E160" s="14">
        <f>E159+B160*C149</f>
        <v>0</v>
      </c>
      <c r="F160" s="21">
        <f>C160*B140*12</f>
        <v>0</v>
      </c>
      <c r="G160" s="21">
        <f>D160 *C140 *12</f>
        <v>0</v>
      </c>
      <c r="H160" s="62">
        <f>E160 *D140*12</f>
        <v>0</v>
      </c>
      <c r="I160" s="62">
        <f>SUM(F160:H160)</f>
        <v>0</v>
      </c>
      <c r="J160" s="24"/>
      <c r="K160" s="5"/>
    </row>
    <row r="161" spans="1:11" x14ac:dyDescent="0.2">
      <c r="A161" s="4">
        <f>A160+1</f>
        <v>2025</v>
      </c>
      <c r="B161" s="23">
        <f>'Baseline Inputs'!$E$195</f>
        <v>0</v>
      </c>
      <c r="C161" s="23">
        <f>C160+B161</f>
        <v>0</v>
      </c>
      <c r="D161" s="23">
        <f>D160+B161*B150</f>
        <v>0</v>
      </c>
      <c r="E161" s="14">
        <f>E160+B161*C150</f>
        <v>0</v>
      </c>
      <c r="F161" s="21">
        <f>C161*B141*12</f>
        <v>0</v>
      </c>
      <c r="G161" s="21">
        <f>D161 *C141 *12</f>
        <v>0</v>
      </c>
      <c r="H161" s="62">
        <f>E161 *D141*12</f>
        <v>0</v>
      </c>
      <c r="I161" s="62">
        <f>SUM(F161:H161)</f>
        <v>0</v>
      </c>
      <c r="J161" s="24"/>
      <c r="K161" s="5"/>
    </row>
    <row r="162" spans="1:11" x14ac:dyDescent="0.2">
      <c r="A162" s="4">
        <f>A161+1</f>
        <v>2026</v>
      </c>
      <c r="B162" s="23">
        <f>'Baseline Inputs'!$F$195</f>
        <v>0</v>
      </c>
      <c r="C162" s="23">
        <f>C161+B162</f>
        <v>0</v>
      </c>
      <c r="D162" s="23">
        <f>D161+B162*B151</f>
        <v>0</v>
      </c>
      <c r="E162" s="14">
        <f>E161+B162*C151</f>
        <v>0</v>
      </c>
      <c r="F162" s="21">
        <f>C162*B142*12</f>
        <v>0</v>
      </c>
      <c r="G162" s="21">
        <f>D162 *C142 *12</f>
        <v>0</v>
      </c>
      <c r="H162" s="62">
        <f>E162 *D142*12</f>
        <v>0</v>
      </c>
      <c r="I162" s="62">
        <f>SUM(F162:H162)</f>
        <v>0</v>
      </c>
      <c r="J162" s="24"/>
      <c r="K162" s="5"/>
    </row>
    <row r="165" spans="1:11" x14ac:dyDescent="0.2">
      <c r="A165" s="20" t="s">
        <v>43</v>
      </c>
      <c r="B165" s="20">
        <f>'Baseline Inputs'!$B$46</f>
        <v>0</v>
      </c>
    </row>
    <row r="167" spans="1:11" x14ac:dyDescent="0.2">
      <c r="B167" s="4" t="s">
        <v>28</v>
      </c>
      <c r="D167"/>
    </row>
    <row r="168" spans="1:11" x14ac:dyDescent="0.2">
      <c r="B168" s="10" t="s">
        <v>17</v>
      </c>
      <c r="C168" s="375" t="s">
        <v>26</v>
      </c>
      <c r="D168" s="375"/>
    </row>
    <row r="169" spans="1:11" x14ac:dyDescent="0.2">
      <c r="B169" s="14" t="s">
        <v>16</v>
      </c>
      <c r="C169" s="14" t="s">
        <v>13</v>
      </c>
      <c r="D169" s="14" t="s">
        <v>27</v>
      </c>
    </row>
    <row r="170" spans="1:11" x14ac:dyDescent="0.2">
      <c r="A170" s="4">
        <f>'Baseline Inputs'!$C$8</f>
        <v>2022</v>
      </c>
      <c r="B170" s="21">
        <f>'Baseline Inputs'!$B$62</f>
        <v>0</v>
      </c>
      <c r="C170" s="22">
        <f>'Baseline Inputs'!$C$62</f>
        <v>0</v>
      </c>
      <c r="D170" s="22">
        <f>'Baseline Inputs'!$D$62</f>
        <v>0</v>
      </c>
    </row>
    <row r="171" spans="1:11" x14ac:dyDescent="0.2">
      <c r="A171" s="4">
        <f>A170+1</f>
        <v>2023</v>
      </c>
      <c r="B171" s="21">
        <f>IF('Baseline Inputs'!$B$75=0,B170,'Baseline Inputs'!$B$75)</f>
        <v>0</v>
      </c>
      <c r="C171" s="22">
        <f>IF('Baseline Inputs'!$C$75=0,C170,'Baseline Inputs'!$C$75)</f>
        <v>0</v>
      </c>
      <c r="D171" s="22">
        <f>IF('Baseline Inputs'!$D$75=0,D170,'Baseline Inputs'!$D$75)</f>
        <v>0</v>
      </c>
      <c r="E171" s="23"/>
      <c r="F171" s="23"/>
      <c r="G171" s="23"/>
    </row>
    <row r="172" spans="1:11" x14ac:dyDescent="0.2">
      <c r="A172" s="4">
        <f>A171+1</f>
        <v>2024</v>
      </c>
      <c r="B172" s="21">
        <f>IF('Baseline Inputs'!$B$88 = 0, B171,'Baseline Inputs'!$B$88)</f>
        <v>0</v>
      </c>
      <c r="C172" s="22">
        <f>IF('Baseline Inputs'!$C$88 = 0, C171,'Baseline Inputs'!$C$88)</f>
        <v>0</v>
      </c>
      <c r="D172" s="22">
        <f>IF('Baseline Inputs'!$D$88 = 0, D171,'Baseline Inputs'!$D$88)</f>
        <v>0</v>
      </c>
      <c r="E172" s="23"/>
      <c r="F172" s="23"/>
      <c r="G172" s="23"/>
    </row>
    <row r="173" spans="1:11" x14ac:dyDescent="0.2">
      <c r="A173" s="4">
        <f>A172+1</f>
        <v>2025</v>
      </c>
      <c r="B173" s="21">
        <f>IF('Baseline Inputs'!$B$101 = 0, B172,'Baseline Inputs'!$B$101)</f>
        <v>0</v>
      </c>
      <c r="C173" s="22">
        <f>IF('Baseline Inputs'!$C$101 = 0, C172,'Baseline Inputs'!$C$101)</f>
        <v>0</v>
      </c>
      <c r="D173" s="22">
        <f>IF('Baseline Inputs'!$D$101 = 0, D172,'Baseline Inputs'!$D$101)</f>
        <v>0</v>
      </c>
      <c r="E173" s="23"/>
      <c r="F173" s="23"/>
      <c r="G173" s="23"/>
    </row>
    <row r="174" spans="1:11" x14ac:dyDescent="0.2">
      <c r="A174" s="4">
        <f>A173+1</f>
        <v>2026</v>
      </c>
      <c r="B174" s="21">
        <f>IF('Baseline Inputs'!$B$114 = 0, B173,'Baseline Inputs'!$B$114)</f>
        <v>0</v>
      </c>
      <c r="C174" s="22">
        <f>IF('Baseline Inputs'!$C$114 = 0, C173,'Baseline Inputs'!$C$114)</f>
        <v>0</v>
      </c>
      <c r="D174" s="22">
        <f>IF('Baseline Inputs'!$D$114 = 0, D173,'Baseline Inputs'!$D$114)</f>
        <v>0</v>
      </c>
      <c r="E174" s="23"/>
      <c r="F174" s="23"/>
      <c r="G174" s="23"/>
    </row>
    <row r="175" spans="1:11" x14ac:dyDescent="0.2">
      <c r="A175"/>
      <c r="B175" s="62"/>
      <c r="C175" s="62"/>
      <c r="D175" s="62"/>
      <c r="E175" s="23"/>
      <c r="F175" s="23"/>
      <c r="G175" s="23"/>
    </row>
    <row r="176" spans="1:11" x14ac:dyDescent="0.2">
      <c r="A176"/>
      <c r="B176" s="376" t="s">
        <v>29</v>
      </c>
      <c r="C176" s="376"/>
      <c r="D176" s="10"/>
      <c r="E176" s="23"/>
      <c r="F176" s="23"/>
      <c r="G176" s="23"/>
    </row>
    <row r="177" spans="1:11" x14ac:dyDescent="0.2">
      <c r="A177"/>
      <c r="B177" s="375" t="s">
        <v>30</v>
      </c>
      <c r="C177" s="375"/>
      <c r="D177" s="10"/>
      <c r="E177" s="23"/>
      <c r="F177" s="23"/>
      <c r="G177" s="23"/>
    </row>
    <row r="178" spans="1:11" x14ac:dyDescent="0.2">
      <c r="A178"/>
      <c r="B178" s="14" t="s">
        <v>31</v>
      </c>
      <c r="C178" s="14" t="s">
        <v>32</v>
      </c>
      <c r="E178" s="23"/>
      <c r="F178" s="23"/>
      <c r="G178" s="23"/>
    </row>
    <row r="179" spans="1:11" x14ac:dyDescent="0.2">
      <c r="A179" s="4">
        <f>'Baseline Inputs'!$C$8</f>
        <v>2022</v>
      </c>
      <c r="B179" s="23">
        <f>'Baseline Inputs'!$B$130</f>
        <v>0</v>
      </c>
      <c r="C179" s="23">
        <f>'Baseline Inputs'!$C$130</f>
        <v>0</v>
      </c>
      <c r="D179" s="23"/>
      <c r="E179" s="14"/>
      <c r="F179" s="14"/>
      <c r="G179" s="14"/>
    </row>
    <row r="180" spans="1:11" x14ac:dyDescent="0.2">
      <c r="A180" s="4">
        <f>A179+1</f>
        <v>2023</v>
      </c>
      <c r="B180" s="23">
        <f>IF('Baseline Inputs'!$B$143 = 0, B179,'Baseline Inputs'!$B$143)</f>
        <v>0</v>
      </c>
      <c r="C180" s="23">
        <f>IF('Baseline Inputs'!$C$143 = 0, C179,'Baseline Inputs'!$C$143)</f>
        <v>0</v>
      </c>
      <c r="D180" s="23"/>
      <c r="E180" s="14"/>
      <c r="F180" s="14"/>
      <c r="G180" s="14"/>
    </row>
    <row r="181" spans="1:11" x14ac:dyDescent="0.2">
      <c r="A181" s="4">
        <f>A180+1</f>
        <v>2024</v>
      </c>
      <c r="B181" s="23">
        <f>IF('Baseline Inputs'!$B$156 = 0, B180,'Baseline Inputs'!$B$156)</f>
        <v>0</v>
      </c>
      <c r="C181" s="23">
        <f>IF('Baseline Inputs'!$C$156 = 0, C180,'Baseline Inputs'!$C$156)</f>
        <v>0</v>
      </c>
      <c r="D181" s="23"/>
      <c r="E181" s="14"/>
      <c r="F181" s="14"/>
      <c r="G181" s="14"/>
    </row>
    <row r="182" spans="1:11" x14ac:dyDescent="0.2">
      <c r="A182" s="4">
        <f>A181+1</f>
        <v>2025</v>
      </c>
      <c r="B182" s="23">
        <f>IF('Baseline Inputs'!$B$169 = 0, B181,'Baseline Inputs'!$B$169)</f>
        <v>0</v>
      </c>
      <c r="C182" s="23">
        <f>IF('Baseline Inputs'!$C$169 = 0, C181,'Baseline Inputs'!$C$169)</f>
        <v>0</v>
      </c>
      <c r="D182" s="23"/>
      <c r="E182" s="14"/>
      <c r="F182" s="14"/>
      <c r="G182" s="14"/>
    </row>
    <row r="183" spans="1:11" x14ac:dyDescent="0.2">
      <c r="A183" s="4">
        <f>A182+1</f>
        <v>2026</v>
      </c>
      <c r="B183" s="23">
        <f>IF('Baseline Inputs'!$B$182 = 0, B182,'Baseline Inputs'!$B$182)</f>
        <v>0</v>
      </c>
      <c r="C183" s="23">
        <f>IF('Baseline Inputs'!$C$182 = 0, C182,'Baseline Inputs'!$C$182)</f>
        <v>0</v>
      </c>
      <c r="D183" s="23"/>
      <c r="E183" s="14"/>
      <c r="F183" s="14"/>
      <c r="G183" s="14"/>
    </row>
    <row r="184" spans="1:11" x14ac:dyDescent="0.2">
      <c r="B184" s="23"/>
      <c r="C184" s="23"/>
      <c r="D184" s="23"/>
      <c r="E184" s="14"/>
      <c r="F184" s="14"/>
      <c r="G184" s="14"/>
    </row>
    <row r="185" spans="1:11" x14ac:dyDescent="0.2">
      <c r="B185" s="21"/>
      <c r="C185" s="22"/>
      <c r="D185" s="22"/>
      <c r="E185" s="14"/>
      <c r="F185" s="14" t="s">
        <v>45</v>
      </c>
      <c r="G185" s="14" t="s">
        <v>45</v>
      </c>
      <c r="H185" s="14" t="s">
        <v>45</v>
      </c>
      <c r="K185" s="14"/>
    </row>
    <row r="186" spans="1:11" x14ac:dyDescent="0.2">
      <c r="B186" s="21"/>
      <c r="C186" s="22"/>
      <c r="D186" s="22" t="s">
        <v>51</v>
      </c>
      <c r="E186" s="14" t="s">
        <v>52</v>
      </c>
      <c r="F186" s="14" t="s">
        <v>50</v>
      </c>
      <c r="G186" s="14" t="s">
        <v>47</v>
      </c>
      <c r="H186" s="14" t="s">
        <v>48</v>
      </c>
      <c r="K186" s="14"/>
    </row>
    <row r="187" spans="1:11" x14ac:dyDescent="0.2">
      <c r="B187" s="21" t="s">
        <v>45</v>
      </c>
      <c r="C187" s="22" t="s">
        <v>46</v>
      </c>
      <c r="D187" s="22" t="s">
        <v>47</v>
      </c>
      <c r="E187" s="14" t="s">
        <v>48</v>
      </c>
      <c r="F187" s="14" t="s">
        <v>17</v>
      </c>
      <c r="G187" s="14" t="s">
        <v>17</v>
      </c>
      <c r="H187" s="14" t="s">
        <v>17</v>
      </c>
      <c r="I187" s="14" t="s">
        <v>35</v>
      </c>
      <c r="J187" s="14"/>
      <c r="K187" s="14"/>
    </row>
    <row r="188" spans="1:11" x14ac:dyDescent="0.2">
      <c r="B188" s="21" t="s">
        <v>44</v>
      </c>
      <c r="C188" s="22" t="s">
        <v>44</v>
      </c>
      <c r="D188" s="22" t="s">
        <v>31</v>
      </c>
      <c r="E188" s="14" t="s">
        <v>49</v>
      </c>
      <c r="F188" s="14" t="s">
        <v>7</v>
      </c>
      <c r="G188" s="14" t="s">
        <v>7</v>
      </c>
      <c r="H188" s="14" t="s">
        <v>7</v>
      </c>
      <c r="I188" s="14" t="s">
        <v>7</v>
      </c>
      <c r="J188" s="14"/>
      <c r="K188" s="14"/>
    </row>
    <row r="189" spans="1:11" x14ac:dyDescent="0.2">
      <c r="B189" s="21"/>
      <c r="C189" s="22"/>
      <c r="D189" s="22"/>
      <c r="E189" s="14"/>
      <c r="F189" s="14"/>
      <c r="G189" s="14"/>
    </row>
    <row r="190" spans="1:11" x14ac:dyDescent="0.2">
      <c r="A190" s="4">
        <f>'Baseline Inputs'!$C$8</f>
        <v>2022</v>
      </c>
      <c r="B190" s="23">
        <f>'Baseline Inputs'!$B$196</f>
        <v>0</v>
      </c>
      <c r="C190" s="23">
        <f>B190</f>
        <v>0</v>
      </c>
      <c r="D190" s="23">
        <f>B190*B179</f>
        <v>0</v>
      </c>
      <c r="E190" s="14">
        <f>B190*C179</f>
        <v>0</v>
      </c>
      <c r="F190" s="21">
        <f>C190*B170*12</f>
        <v>0</v>
      </c>
      <c r="G190" s="21">
        <f>D190 *C170 *12</f>
        <v>0</v>
      </c>
      <c r="H190" s="62">
        <f>E190 *D170*12</f>
        <v>0</v>
      </c>
      <c r="I190" s="62">
        <f>SUM(F190:H190)</f>
        <v>0</v>
      </c>
      <c r="J190" s="24"/>
      <c r="K190" s="5"/>
    </row>
    <row r="191" spans="1:11" x14ac:dyDescent="0.2">
      <c r="A191" s="4">
        <f>A190+1</f>
        <v>2023</v>
      </c>
      <c r="B191" s="23">
        <f>'Baseline Inputs'!$C$196</f>
        <v>0</v>
      </c>
      <c r="C191" s="23">
        <f>C190+B191</f>
        <v>0</v>
      </c>
      <c r="D191" s="23">
        <f>D190+B191*B180</f>
        <v>0</v>
      </c>
      <c r="E191" s="14">
        <f>E190+B191*C180</f>
        <v>0</v>
      </c>
      <c r="F191" s="21">
        <f>C191*B171*12</f>
        <v>0</v>
      </c>
      <c r="G191" s="21">
        <f>D191 *C171 *12</f>
        <v>0</v>
      </c>
      <c r="H191" s="62">
        <f>E191 *D171*12</f>
        <v>0</v>
      </c>
      <c r="I191" s="62">
        <f>SUM(F191:H191)</f>
        <v>0</v>
      </c>
      <c r="J191" s="24"/>
      <c r="K191" s="5"/>
    </row>
    <row r="192" spans="1:11" x14ac:dyDescent="0.2">
      <c r="A192" s="4">
        <f>A191+1</f>
        <v>2024</v>
      </c>
      <c r="B192" s="23">
        <f>'Baseline Inputs'!$D$196</f>
        <v>0</v>
      </c>
      <c r="C192" s="23">
        <f>C191+B192</f>
        <v>0</v>
      </c>
      <c r="D192" s="23">
        <f>D191+B192*B181</f>
        <v>0</v>
      </c>
      <c r="E192" s="14">
        <f>E191+B192*C181</f>
        <v>0</v>
      </c>
      <c r="F192" s="21">
        <f>C192*B172*12</f>
        <v>0</v>
      </c>
      <c r="G192" s="21">
        <f>D192 *C172 *12</f>
        <v>0</v>
      </c>
      <c r="H192" s="62">
        <f>E192 *D172*12</f>
        <v>0</v>
      </c>
      <c r="I192" s="62">
        <f>SUM(F192:H192)</f>
        <v>0</v>
      </c>
      <c r="J192" s="24"/>
      <c r="K192" s="5"/>
    </row>
    <row r="193" spans="1:11" x14ac:dyDescent="0.2">
      <c r="A193" s="4">
        <f>A192+1</f>
        <v>2025</v>
      </c>
      <c r="B193" s="23">
        <f>'Baseline Inputs'!$E$196</f>
        <v>0</v>
      </c>
      <c r="C193" s="23">
        <f>C192+B193</f>
        <v>0</v>
      </c>
      <c r="D193" s="23">
        <f>D192+B193*B182</f>
        <v>0</v>
      </c>
      <c r="E193" s="14">
        <f>E192+B193*C182</f>
        <v>0</v>
      </c>
      <c r="F193" s="21">
        <f>C193*B173*12</f>
        <v>0</v>
      </c>
      <c r="G193" s="21">
        <f>D193 *C173 *12</f>
        <v>0</v>
      </c>
      <c r="H193" s="62">
        <f>E193 *D173*12</f>
        <v>0</v>
      </c>
      <c r="I193" s="62">
        <f>SUM(F193:H193)</f>
        <v>0</v>
      </c>
      <c r="J193" s="24"/>
      <c r="K193" s="5"/>
    </row>
    <row r="194" spans="1:11" x14ac:dyDescent="0.2">
      <c r="A194" s="4">
        <f>A193+1</f>
        <v>2026</v>
      </c>
      <c r="B194" s="23">
        <f>'Baseline Inputs'!$F$196</f>
        <v>0</v>
      </c>
      <c r="C194" s="23">
        <f>C193+B194</f>
        <v>0</v>
      </c>
      <c r="D194" s="23">
        <f>D193+B194*B183</f>
        <v>0</v>
      </c>
      <c r="E194" s="14">
        <f>E193+B194*C183</f>
        <v>0</v>
      </c>
      <c r="F194" s="21">
        <f>C194*B174*12</f>
        <v>0</v>
      </c>
      <c r="G194" s="21">
        <f>D194 *C174 *12</f>
        <v>0</v>
      </c>
      <c r="H194" s="62">
        <f>E194 *D174*12</f>
        <v>0</v>
      </c>
      <c r="I194" s="62">
        <f>SUM(F194:H194)</f>
        <v>0</v>
      </c>
      <c r="J194" s="24"/>
      <c r="K194" s="5"/>
    </row>
    <row r="195" spans="1:11" x14ac:dyDescent="0.2">
      <c r="B195" s="5"/>
      <c r="C195" s="5"/>
      <c r="D195" s="5"/>
      <c r="E195" s="5"/>
      <c r="F195" s="5"/>
      <c r="G195" s="5"/>
    </row>
    <row r="196" spans="1:11" x14ac:dyDescent="0.2">
      <c r="A196" s="6"/>
    </row>
    <row r="197" spans="1:11" x14ac:dyDescent="0.2">
      <c r="A197" s="20" t="s">
        <v>43</v>
      </c>
      <c r="B197" s="20">
        <f>'Baseline Inputs'!$B$47</f>
        <v>0</v>
      </c>
    </row>
    <row r="199" spans="1:11" x14ac:dyDescent="0.2">
      <c r="B199" s="4" t="s">
        <v>28</v>
      </c>
      <c r="D199"/>
    </row>
    <row r="200" spans="1:11" x14ac:dyDescent="0.2">
      <c r="B200" s="10" t="s">
        <v>17</v>
      </c>
      <c r="C200" s="375" t="s">
        <v>26</v>
      </c>
      <c r="D200" s="375"/>
    </row>
    <row r="201" spans="1:11" x14ac:dyDescent="0.2">
      <c r="B201" s="14" t="s">
        <v>16</v>
      </c>
      <c r="C201" s="14" t="s">
        <v>13</v>
      </c>
      <c r="D201" s="14" t="s">
        <v>27</v>
      </c>
    </row>
    <row r="202" spans="1:11" x14ac:dyDescent="0.2">
      <c r="A202" s="4">
        <f>'Baseline Inputs'!$C$8</f>
        <v>2022</v>
      </c>
      <c r="B202" s="21">
        <f>'Baseline Inputs'!$B$63</f>
        <v>0</v>
      </c>
      <c r="C202" s="22">
        <f>'Baseline Inputs'!$C$63</f>
        <v>0</v>
      </c>
      <c r="D202" s="22">
        <f>'Baseline Inputs'!$D$63</f>
        <v>0</v>
      </c>
    </row>
    <row r="203" spans="1:11" x14ac:dyDescent="0.2">
      <c r="A203" s="4">
        <f>A202+1</f>
        <v>2023</v>
      </c>
      <c r="B203" s="21">
        <f>IF('Baseline Inputs'!$B$76=0,B202,'Baseline Inputs'!$B$76)</f>
        <v>0</v>
      </c>
      <c r="C203" s="22">
        <f>IF('Baseline Inputs'!$C$76=0,C202,'Baseline Inputs'!$C$76)</f>
        <v>0</v>
      </c>
      <c r="D203" s="22">
        <f>IF('Baseline Inputs'!$D$76=0,D202,'Baseline Inputs'!$D$76)</f>
        <v>0</v>
      </c>
      <c r="E203" s="23"/>
      <c r="F203" s="23"/>
      <c r="G203" s="23"/>
    </row>
    <row r="204" spans="1:11" x14ac:dyDescent="0.2">
      <c r="A204" s="4">
        <f>A203+1</f>
        <v>2024</v>
      </c>
      <c r="B204" s="21">
        <f>IF('Baseline Inputs'!$B$89 = 0, B203,'Baseline Inputs'!$B$89)</f>
        <v>0</v>
      </c>
      <c r="C204" s="22">
        <f>IF('Baseline Inputs'!$C$89 = 0, C203,'Baseline Inputs'!$C$89)</f>
        <v>0</v>
      </c>
      <c r="D204" s="22">
        <f>IF('Baseline Inputs'!$D$89 = 0, D203,'Baseline Inputs'!$D$89)</f>
        <v>0</v>
      </c>
      <c r="E204" s="23"/>
      <c r="F204" s="23"/>
      <c r="G204" s="23"/>
    </row>
    <row r="205" spans="1:11" x14ac:dyDescent="0.2">
      <c r="A205" s="4">
        <f>A204+1</f>
        <v>2025</v>
      </c>
      <c r="B205" s="21">
        <f>IF('Baseline Inputs'!$B$102 = 0, B204,'Baseline Inputs'!$B$102)</f>
        <v>0</v>
      </c>
      <c r="C205" s="22">
        <f>IF('Baseline Inputs'!$C$102 = 0, C204,'Baseline Inputs'!$C$102)</f>
        <v>0</v>
      </c>
      <c r="D205" s="22">
        <f>IF('Baseline Inputs'!$D$102 = 0, D204,'Baseline Inputs'!$D$102)</f>
        <v>0</v>
      </c>
      <c r="E205" s="23"/>
      <c r="F205" s="23"/>
      <c r="G205" s="23"/>
    </row>
    <row r="206" spans="1:11" x14ac:dyDescent="0.2">
      <c r="A206" s="4">
        <f>A205+1</f>
        <v>2026</v>
      </c>
      <c r="B206" s="21">
        <f>IF('Baseline Inputs'!$B$115 = 0, B205,'Baseline Inputs'!$B$115)</f>
        <v>0</v>
      </c>
      <c r="C206" s="22">
        <f>IF('Baseline Inputs'!$C$115 = 0, C205,'Baseline Inputs'!$C$115)</f>
        <v>0</v>
      </c>
      <c r="D206" s="22">
        <f>IF('Baseline Inputs'!$D$115 = 0, D205,'Baseline Inputs'!$D$115)</f>
        <v>0</v>
      </c>
      <c r="E206" s="23"/>
      <c r="F206" s="23"/>
      <c r="G206" s="23"/>
    </row>
    <row r="207" spans="1:11" x14ac:dyDescent="0.2">
      <c r="A207"/>
      <c r="B207" s="62"/>
      <c r="C207" s="62"/>
      <c r="D207" s="62"/>
      <c r="E207" s="23"/>
      <c r="F207" s="23"/>
      <c r="G207" s="23"/>
    </row>
    <row r="208" spans="1:11" x14ac:dyDescent="0.2">
      <c r="A208"/>
      <c r="B208" s="376" t="s">
        <v>29</v>
      </c>
      <c r="C208" s="376"/>
      <c r="D208" s="10"/>
      <c r="E208" s="23"/>
      <c r="F208" s="23"/>
      <c r="G208" s="23"/>
    </row>
    <row r="209" spans="1:11" x14ac:dyDescent="0.2">
      <c r="A209"/>
      <c r="B209" s="375" t="s">
        <v>30</v>
      </c>
      <c r="C209" s="375"/>
      <c r="D209" s="10"/>
      <c r="E209" s="23"/>
      <c r="F209" s="23"/>
      <c r="G209" s="23"/>
    </row>
    <row r="210" spans="1:11" x14ac:dyDescent="0.2">
      <c r="A210"/>
      <c r="B210" s="14" t="s">
        <v>31</v>
      </c>
      <c r="C210" s="14" t="s">
        <v>32</v>
      </c>
      <c r="E210" s="23"/>
      <c r="F210" s="23"/>
      <c r="G210" s="23"/>
    </row>
    <row r="211" spans="1:11" x14ac:dyDescent="0.2">
      <c r="A211" s="4">
        <f>'Baseline Inputs'!$C$8</f>
        <v>2022</v>
      </c>
      <c r="B211" s="23">
        <f>'Baseline Inputs'!$B$131</f>
        <v>0</v>
      </c>
      <c r="C211" s="23">
        <f>'Baseline Inputs'!$C$131</f>
        <v>0</v>
      </c>
      <c r="D211" s="23"/>
      <c r="E211" s="14"/>
      <c r="F211" s="14"/>
      <c r="G211" s="14"/>
    </row>
    <row r="212" spans="1:11" x14ac:dyDescent="0.2">
      <c r="A212" s="4">
        <f>A203</f>
        <v>2023</v>
      </c>
      <c r="B212" s="23">
        <f>IF('Baseline Inputs'!$B$144 = 0, B211,'Baseline Inputs'!$B$144)</f>
        <v>0</v>
      </c>
      <c r="C212" s="23">
        <f>IF('Baseline Inputs'!$C$144 = 0, C211,'Baseline Inputs'!$C$144)</f>
        <v>0</v>
      </c>
      <c r="D212" s="23"/>
      <c r="E212" s="14"/>
      <c r="F212" s="14"/>
      <c r="G212" s="14"/>
    </row>
    <row r="213" spans="1:11" x14ac:dyDescent="0.2">
      <c r="A213" s="4">
        <f>A204</f>
        <v>2024</v>
      </c>
      <c r="B213" s="23">
        <f>IF('Baseline Inputs'!$B$157 = 0, B212,'Baseline Inputs'!$B$157)</f>
        <v>0</v>
      </c>
      <c r="C213" s="23">
        <f>IF('Baseline Inputs'!$C$157 = 0, C212,'Baseline Inputs'!$C$157)</f>
        <v>0</v>
      </c>
      <c r="D213" s="23"/>
      <c r="E213" s="14"/>
      <c r="F213" s="14"/>
      <c r="G213" s="14"/>
    </row>
    <row r="214" spans="1:11" x14ac:dyDescent="0.2">
      <c r="A214" s="4">
        <f>A205</f>
        <v>2025</v>
      </c>
      <c r="B214" s="23">
        <f>IF('Baseline Inputs'!$B$170 = 0, B213,'Baseline Inputs'!$B$170)</f>
        <v>0</v>
      </c>
      <c r="C214" s="23">
        <f>IF('Baseline Inputs'!$C$170 = 0, C213,'Baseline Inputs'!$C$170)</f>
        <v>0</v>
      </c>
      <c r="D214" s="23"/>
      <c r="E214" s="14"/>
      <c r="F214" s="14"/>
      <c r="G214" s="14"/>
    </row>
    <row r="215" spans="1:11" x14ac:dyDescent="0.2">
      <c r="A215" s="4">
        <f>A206</f>
        <v>2026</v>
      </c>
      <c r="B215" s="23">
        <f>IF('Baseline Inputs'!$B$183 = 0, B214,'Baseline Inputs'!$B$183)</f>
        <v>0</v>
      </c>
      <c r="C215" s="23">
        <f>IF('Baseline Inputs'!$C$183 = 0, C214,'Baseline Inputs'!$C$183)</f>
        <v>0</v>
      </c>
      <c r="D215" s="23"/>
      <c r="E215" s="14"/>
      <c r="F215" s="14"/>
      <c r="G215" s="14"/>
    </row>
    <row r="216" spans="1:11" x14ac:dyDescent="0.2">
      <c r="B216" s="23"/>
      <c r="C216" s="23"/>
      <c r="D216" s="23"/>
      <c r="E216" s="14"/>
      <c r="F216" s="14"/>
      <c r="G216" s="14"/>
    </row>
    <row r="217" spans="1:11" x14ac:dyDescent="0.2">
      <c r="B217" s="21"/>
      <c r="C217" s="22"/>
      <c r="D217" s="22"/>
      <c r="E217" s="14"/>
      <c r="F217" s="14" t="s">
        <v>45</v>
      </c>
      <c r="G217" s="14" t="s">
        <v>45</v>
      </c>
      <c r="H217" s="14" t="s">
        <v>45</v>
      </c>
      <c r="K217" s="14"/>
    </row>
    <row r="218" spans="1:11" x14ac:dyDescent="0.2">
      <c r="B218" s="21"/>
      <c r="C218" s="22"/>
      <c r="D218" s="22" t="s">
        <v>51</v>
      </c>
      <c r="E218" s="14" t="s">
        <v>52</v>
      </c>
      <c r="F218" s="14" t="s">
        <v>50</v>
      </c>
      <c r="G218" s="14" t="s">
        <v>47</v>
      </c>
      <c r="H218" s="14" t="s">
        <v>48</v>
      </c>
      <c r="K218" s="14"/>
    </row>
    <row r="219" spans="1:11" x14ac:dyDescent="0.2">
      <c r="B219" s="21" t="s">
        <v>45</v>
      </c>
      <c r="C219" s="22" t="s">
        <v>46</v>
      </c>
      <c r="D219" s="22" t="s">
        <v>47</v>
      </c>
      <c r="E219" s="14" t="s">
        <v>48</v>
      </c>
      <c r="F219" s="14" t="s">
        <v>17</v>
      </c>
      <c r="G219" s="14" t="s">
        <v>17</v>
      </c>
      <c r="H219" s="14" t="s">
        <v>17</v>
      </c>
      <c r="I219" s="14" t="s">
        <v>35</v>
      </c>
      <c r="J219" s="14"/>
      <c r="K219" s="14"/>
    </row>
    <row r="220" spans="1:11" x14ac:dyDescent="0.2">
      <c r="B220" s="21" t="s">
        <v>44</v>
      </c>
      <c r="C220" s="22" t="s">
        <v>44</v>
      </c>
      <c r="D220" s="22" t="s">
        <v>31</v>
      </c>
      <c r="E220" s="14" t="s">
        <v>49</v>
      </c>
      <c r="F220" s="14" t="s">
        <v>7</v>
      </c>
      <c r="G220" s="14" t="s">
        <v>7</v>
      </c>
      <c r="H220" s="14" t="s">
        <v>7</v>
      </c>
      <c r="I220" s="14" t="s">
        <v>7</v>
      </c>
      <c r="J220" s="14"/>
      <c r="K220" s="14"/>
    </row>
    <row r="221" spans="1:11" x14ac:dyDescent="0.2">
      <c r="B221" s="21"/>
      <c r="C221" s="22"/>
      <c r="D221" s="22"/>
      <c r="E221" s="14"/>
      <c r="F221" s="14"/>
      <c r="G221" s="14"/>
    </row>
    <row r="222" spans="1:11" x14ac:dyDescent="0.2">
      <c r="A222" s="4">
        <f>'Baseline Inputs'!$C$8</f>
        <v>2022</v>
      </c>
      <c r="B222" s="23">
        <f>'Baseline Inputs'!$B$197</f>
        <v>0</v>
      </c>
      <c r="C222" s="23">
        <f>B222</f>
        <v>0</v>
      </c>
      <c r="D222" s="23">
        <f>B222*B211</f>
        <v>0</v>
      </c>
      <c r="E222" s="14">
        <f>B222*C211</f>
        <v>0</v>
      </c>
      <c r="F222" s="21">
        <f>C222*B202*12</f>
        <v>0</v>
      </c>
      <c r="G222" s="21">
        <f>D222 *C202 *12</f>
        <v>0</v>
      </c>
      <c r="H222" s="62">
        <f>E222 *D202*12</f>
        <v>0</v>
      </c>
      <c r="I222" s="62">
        <f>SUM(F222:H222)</f>
        <v>0</v>
      </c>
      <c r="J222" s="24"/>
      <c r="K222" s="5"/>
    </row>
    <row r="223" spans="1:11" x14ac:dyDescent="0.2">
      <c r="A223" s="4">
        <f>A222+1</f>
        <v>2023</v>
      </c>
      <c r="B223" s="23">
        <f>'Baseline Inputs'!$C$197</f>
        <v>0</v>
      </c>
      <c r="C223" s="23">
        <f>C222+B223</f>
        <v>0</v>
      </c>
      <c r="D223" s="23">
        <f>D222+B223*B212</f>
        <v>0</v>
      </c>
      <c r="E223" s="14">
        <f>E222+B223*C212</f>
        <v>0</v>
      </c>
      <c r="F223" s="21">
        <f>C223*B203*12</f>
        <v>0</v>
      </c>
      <c r="G223" s="21">
        <f>D223 *C203 *12</f>
        <v>0</v>
      </c>
      <c r="H223" s="62">
        <f>E223 *D203*12</f>
        <v>0</v>
      </c>
      <c r="I223" s="62">
        <f>SUM(F223:H223)</f>
        <v>0</v>
      </c>
      <c r="J223" s="24"/>
      <c r="K223" s="5"/>
    </row>
    <row r="224" spans="1:11" x14ac:dyDescent="0.2">
      <c r="A224" s="4">
        <f>A223+1</f>
        <v>2024</v>
      </c>
      <c r="B224" s="23">
        <f>'Baseline Inputs'!$D$197</f>
        <v>0</v>
      </c>
      <c r="C224" s="23">
        <f>C223+B224</f>
        <v>0</v>
      </c>
      <c r="D224" s="23">
        <f>D223+B224*B213</f>
        <v>0</v>
      </c>
      <c r="E224" s="14">
        <f>E223+B224*C213</f>
        <v>0</v>
      </c>
      <c r="F224" s="21">
        <f>C224*B204*12</f>
        <v>0</v>
      </c>
      <c r="G224" s="21">
        <f>D224 *C204 *12</f>
        <v>0</v>
      </c>
      <c r="H224" s="62">
        <f>E224 *D204*12</f>
        <v>0</v>
      </c>
      <c r="I224" s="62">
        <f>SUM(F224:H224)</f>
        <v>0</v>
      </c>
      <c r="J224" s="24"/>
      <c r="K224" s="5"/>
    </row>
    <row r="225" spans="1:11" x14ac:dyDescent="0.2">
      <c r="A225" s="4">
        <f>A224+1</f>
        <v>2025</v>
      </c>
      <c r="B225" s="23">
        <f>'Baseline Inputs'!$E$197</f>
        <v>0</v>
      </c>
      <c r="C225" s="23">
        <f>C224+B225</f>
        <v>0</v>
      </c>
      <c r="D225" s="23">
        <f>D224+B225*B214</f>
        <v>0</v>
      </c>
      <c r="E225" s="14">
        <f>E224+B225*C214</f>
        <v>0</v>
      </c>
      <c r="F225" s="21">
        <f>C225*B205*12</f>
        <v>0</v>
      </c>
      <c r="G225" s="21">
        <f>D225 *C205 *12</f>
        <v>0</v>
      </c>
      <c r="H225" s="62">
        <f>E225 *D205*12</f>
        <v>0</v>
      </c>
      <c r="I225" s="62">
        <f>SUM(F225:H225)</f>
        <v>0</v>
      </c>
      <c r="J225" s="24"/>
      <c r="K225" s="5"/>
    </row>
    <row r="226" spans="1:11" x14ac:dyDescent="0.2">
      <c r="A226" s="4">
        <f>A225+1</f>
        <v>2026</v>
      </c>
      <c r="B226" s="23">
        <f>'Baseline Inputs'!$F$197</f>
        <v>0</v>
      </c>
      <c r="C226" s="23">
        <f>C225+B226</f>
        <v>0</v>
      </c>
      <c r="D226" s="23">
        <f>D225+B226*B215</f>
        <v>0</v>
      </c>
      <c r="E226" s="14">
        <f>E225+B226*C215</f>
        <v>0</v>
      </c>
      <c r="F226" s="21">
        <f>C226*B206*12</f>
        <v>0</v>
      </c>
      <c r="G226" s="21">
        <f>D226 *C206 *12</f>
        <v>0</v>
      </c>
      <c r="H226" s="62">
        <f>E226 *D206*12</f>
        <v>0</v>
      </c>
      <c r="I226" s="62">
        <f>SUM(F226:H226)</f>
        <v>0</v>
      </c>
      <c r="J226" s="24"/>
      <c r="K226" s="5"/>
    </row>
    <row r="229" spans="1:11" x14ac:dyDescent="0.2">
      <c r="A229" s="20" t="s">
        <v>43</v>
      </c>
      <c r="B229" s="20">
        <f>'Baseline Inputs'!$B$48</f>
        <v>0</v>
      </c>
    </row>
    <row r="231" spans="1:11" x14ac:dyDescent="0.2">
      <c r="B231" s="4" t="s">
        <v>28</v>
      </c>
      <c r="D231"/>
    </row>
    <row r="232" spans="1:11" x14ac:dyDescent="0.2">
      <c r="B232" s="10" t="s">
        <v>17</v>
      </c>
      <c r="C232" s="375" t="s">
        <v>26</v>
      </c>
      <c r="D232" s="375"/>
    </row>
    <row r="233" spans="1:11" x14ac:dyDescent="0.2">
      <c r="B233" s="14" t="s">
        <v>16</v>
      </c>
      <c r="C233" s="14" t="s">
        <v>13</v>
      </c>
      <c r="D233" s="14" t="s">
        <v>27</v>
      </c>
    </row>
    <row r="234" spans="1:11" x14ac:dyDescent="0.2">
      <c r="A234" s="4">
        <f>'Baseline Inputs'!$C$8</f>
        <v>2022</v>
      </c>
      <c r="B234" s="21">
        <f>'Baseline Inputs'!$B$64</f>
        <v>0</v>
      </c>
      <c r="C234" s="22">
        <f>'Baseline Inputs'!$C$64</f>
        <v>0</v>
      </c>
      <c r="D234" s="22">
        <f>'Baseline Inputs'!$D$64</f>
        <v>0</v>
      </c>
    </row>
    <row r="235" spans="1:11" x14ac:dyDescent="0.2">
      <c r="A235" s="4">
        <f>A234+1</f>
        <v>2023</v>
      </c>
      <c r="B235" s="21">
        <f>IF('Baseline Inputs'!$B$77=0,B234,'Baseline Inputs'!$B$77)</f>
        <v>0</v>
      </c>
      <c r="C235" s="22">
        <f>IF('Baseline Inputs'!$C$77=0,C234,'Baseline Inputs'!$C$77)</f>
        <v>0</v>
      </c>
      <c r="D235" s="22">
        <f>IF('Baseline Inputs'!$D$77=0,D234,'Baseline Inputs'!$D$77)</f>
        <v>0</v>
      </c>
      <c r="E235" s="23"/>
      <c r="F235" s="23"/>
      <c r="G235" s="23"/>
    </row>
    <row r="236" spans="1:11" x14ac:dyDescent="0.2">
      <c r="A236" s="4">
        <f>A235+1</f>
        <v>2024</v>
      </c>
      <c r="B236" s="21">
        <f>IF('Baseline Inputs'!$B$90 = 0, B235,'Baseline Inputs'!$B$90)</f>
        <v>0</v>
      </c>
      <c r="C236" s="22">
        <f>IF('Baseline Inputs'!$C$90 = 0, C235,'Baseline Inputs'!$C$90)</f>
        <v>0</v>
      </c>
      <c r="D236" s="22">
        <f>IF('Baseline Inputs'!$D$90 = 0, D235,'Baseline Inputs'!$D$90)</f>
        <v>0</v>
      </c>
      <c r="E236" s="23"/>
      <c r="F236" s="23"/>
      <c r="G236" s="23"/>
    </row>
    <row r="237" spans="1:11" x14ac:dyDescent="0.2">
      <c r="A237" s="4">
        <f>A236+1</f>
        <v>2025</v>
      </c>
      <c r="B237" s="21">
        <f>IF('Baseline Inputs'!$B$103 = 0, B236,'Baseline Inputs'!$B$103)</f>
        <v>0</v>
      </c>
      <c r="C237" s="22">
        <f>IF('Baseline Inputs'!$C$103 = 0, C236,'Baseline Inputs'!$C$103)</f>
        <v>0</v>
      </c>
      <c r="D237" s="22">
        <f>IF('Baseline Inputs'!$D$103 = 0, D236,'Baseline Inputs'!$D$103)</f>
        <v>0</v>
      </c>
      <c r="E237" s="23"/>
      <c r="F237" s="23"/>
      <c r="G237" s="23"/>
    </row>
    <row r="238" spans="1:11" x14ac:dyDescent="0.2">
      <c r="A238" s="4">
        <f>A237+1</f>
        <v>2026</v>
      </c>
      <c r="B238" s="21">
        <f>IF('Baseline Inputs'!$B$116 = 0, B237,'Baseline Inputs'!$B$116)</f>
        <v>0</v>
      </c>
      <c r="C238" s="22">
        <f>IF('Baseline Inputs'!$C$116 = 0, C237,'Baseline Inputs'!$C$116)</f>
        <v>0</v>
      </c>
      <c r="D238" s="22">
        <f>IF('Baseline Inputs'!$D$116 = 0, D237,'Baseline Inputs'!$D$116)</f>
        <v>0</v>
      </c>
      <c r="E238" s="23"/>
      <c r="F238" s="23"/>
      <c r="G238" s="23"/>
    </row>
    <row r="239" spans="1:11" x14ac:dyDescent="0.2">
      <c r="A239"/>
      <c r="B239" s="62"/>
      <c r="C239" s="62"/>
      <c r="D239" s="62"/>
      <c r="E239" s="23"/>
      <c r="F239" s="23"/>
      <c r="G239" s="23"/>
    </row>
    <row r="240" spans="1:11" x14ac:dyDescent="0.2">
      <c r="A240"/>
      <c r="B240" s="376" t="s">
        <v>29</v>
      </c>
      <c r="C240" s="376"/>
      <c r="D240" s="10"/>
      <c r="E240" s="23"/>
      <c r="F240" s="23"/>
      <c r="G240" s="23"/>
    </row>
    <row r="241" spans="1:11" x14ac:dyDescent="0.2">
      <c r="A241"/>
      <c r="B241" s="375" t="s">
        <v>30</v>
      </c>
      <c r="C241" s="375"/>
      <c r="D241" s="10"/>
      <c r="E241" s="23"/>
      <c r="F241" s="23"/>
      <c r="G241" s="23"/>
    </row>
    <row r="242" spans="1:11" x14ac:dyDescent="0.2">
      <c r="A242"/>
      <c r="B242" s="14" t="s">
        <v>31</v>
      </c>
      <c r="C242" s="14" t="s">
        <v>32</v>
      </c>
      <c r="E242" s="23"/>
      <c r="F242" s="23"/>
      <c r="G242" s="23"/>
    </row>
    <row r="243" spans="1:11" x14ac:dyDescent="0.2">
      <c r="A243" s="4">
        <f>'Baseline Inputs'!$C$8</f>
        <v>2022</v>
      </c>
      <c r="B243" s="23">
        <f>'Baseline Inputs'!$B$132</f>
        <v>0</v>
      </c>
      <c r="C243" s="23">
        <f>'Baseline Inputs'!$C$132</f>
        <v>0</v>
      </c>
      <c r="D243" s="23"/>
      <c r="E243" s="14"/>
      <c r="F243" s="14"/>
      <c r="G243" s="14"/>
    </row>
    <row r="244" spans="1:11" x14ac:dyDescent="0.2">
      <c r="A244" s="4">
        <f>A235</f>
        <v>2023</v>
      </c>
      <c r="B244" s="23">
        <f>IF('Baseline Inputs'!$B$145 = 0, B243,'Baseline Inputs'!$B$145)</f>
        <v>0</v>
      </c>
      <c r="C244" s="23">
        <f>IF('Baseline Inputs'!$C$145 = 0, C243,'Baseline Inputs'!$C$145)</f>
        <v>0</v>
      </c>
      <c r="D244" s="23"/>
      <c r="E244" s="14"/>
      <c r="F244" s="14"/>
      <c r="G244" s="14"/>
    </row>
    <row r="245" spans="1:11" x14ac:dyDescent="0.2">
      <c r="A245" s="4">
        <f>A236</f>
        <v>2024</v>
      </c>
      <c r="B245" s="23">
        <f>IF('Baseline Inputs'!$B$158 = 0, B244,'Baseline Inputs'!$B$158)</f>
        <v>0</v>
      </c>
      <c r="C245" s="23">
        <f>IF('Baseline Inputs'!$C$158 = 0, C244,'Baseline Inputs'!$C$158)</f>
        <v>0</v>
      </c>
      <c r="D245" s="23"/>
      <c r="E245" s="14"/>
      <c r="F245" s="14"/>
      <c r="G245" s="14"/>
    </row>
    <row r="246" spans="1:11" x14ac:dyDescent="0.2">
      <c r="A246" s="4">
        <f>A237</f>
        <v>2025</v>
      </c>
      <c r="B246" s="23">
        <f>IF('Baseline Inputs'!$B$171 = 0, B245,'Baseline Inputs'!$B$171)</f>
        <v>0</v>
      </c>
      <c r="C246" s="23">
        <f>IF('Baseline Inputs'!$C$171 = 0, C245,'Baseline Inputs'!$C$171)</f>
        <v>0</v>
      </c>
      <c r="D246" s="23"/>
      <c r="E246" s="14"/>
      <c r="F246" s="14"/>
      <c r="G246" s="14"/>
    </row>
    <row r="247" spans="1:11" x14ac:dyDescent="0.2">
      <c r="A247" s="4">
        <f>A238</f>
        <v>2026</v>
      </c>
      <c r="B247" s="23">
        <f>IF('Baseline Inputs'!$B$184 = 0, B246,'Baseline Inputs'!$B$184)</f>
        <v>0</v>
      </c>
      <c r="C247" s="23">
        <f>IF('Baseline Inputs'!$C$184 = 0, C246,'Baseline Inputs'!$C$184)</f>
        <v>0</v>
      </c>
      <c r="D247" s="23"/>
      <c r="E247" s="14"/>
      <c r="F247" s="14"/>
      <c r="G247" s="14"/>
    </row>
    <row r="248" spans="1:11" x14ac:dyDescent="0.2">
      <c r="B248" s="23"/>
      <c r="C248" s="23"/>
      <c r="D248" s="23"/>
      <c r="E248" s="14"/>
      <c r="F248" s="14"/>
      <c r="G248" s="14"/>
    </row>
    <row r="249" spans="1:11" x14ac:dyDescent="0.2">
      <c r="B249" s="21"/>
      <c r="C249" s="22"/>
      <c r="D249" s="22"/>
      <c r="E249" s="14"/>
      <c r="F249" s="14" t="s">
        <v>45</v>
      </c>
      <c r="G249" s="14" t="s">
        <v>45</v>
      </c>
      <c r="H249" s="14" t="s">
        <v>45</v>
      </c>
      <c r="K249" s="14"/>
    </row>
    <row r="250" spans="1:11" x14ac:dyDescent="0.2">
      <c r="B250" s="21"/>
      <c r="C250" s="22"/>
      <c r="D250" s="22" t="s">
        <v>51</v>
      </c>
      <c r="E250" s="14" t="s">
        <v>52</v>
      </c>
      <c r="F250" s="14" t="s">
        <v>50</v>
      </c>
      <c r="G250" s="14" t="s">
        <v>47</v>
      </c>
      <c r="H250" s="14" t="s">
        <v>48</v>
      </c>
      <c r="K250" s="14"/>
    </row>
    <row r="251" spans="1:11" x14ac:dyDescent="0.2">
      <c r="B251" s="21" t="s">
        <v>45</v>
      </c>
      <c r="C251" s="22" t="s">
        <v>46</v>
      </c>
      <c r="D251" s="22" t="s">
        <v>47</v>
      </c>
      <c r="E251" s="14" t="s">
        <v>48</v>
      </c>
      <c r="F251" s="14" t="s">
        <v>17</v>
      </c>
      <c r="G251" s="14" t="s">
        <v>17</v>
      </c>
      <c r="H251" s="14" t="s">
        <v>17</v>
      </c>
      <c r="I251" s="14" t="s">
        <v>35</v>
      </c>
      <c r="J251" s="14"/>
      <c r="K251" s="14"/>
    </row>
    <row r="252" spans="1:11" x14ac:dyDescent="0.2">
      <c r="B252" s="21" t="s">
        <v>44</v>
      </c>
      <c r="C252" s="22" t="s">
        <v>44</v>
      </c>
      <c r="D252" s="22" t="s">
        <v>31</v>
      </c>
      <c r="E252" s="14" t="s">
        <v>49</v>
      </c>
      <c r="F252" s="14" t="s">
        <v>7</v>
      </c>
      <c r="G252" s="14" t="s">
        <v>7</v>
      </c>
      <c r="H252" s="14" t="s">
        <v>7</v>
      </c>
      <c r="I252" s="14" t="s">
        <v>7</v>
      </c>
      <c r="J252" s="14"/>
      <c r="K252" s="14"/>
    </row>
    <row r="253" spans="1:11" x14ac:dyDescent="0.2">
      <c r="B253" s="21"/>
      <c r="C253" s="22"/>
      <c r="D253" s="22"/>
      <c r="E253" s="14"/>
      <c r="F253" s="14"/>
      <c r="G253" s="14"/>
    </row>
    <row r="254" spans="1:11" x14ac:dyDescent="0.2">
      <c r="A254" s="4">
        <f>'Baseline Inputs'!$C$8</f>
        <v>2022</v>
      </c>
      <c r="B254" s="23">
        <f>'Baseline Inputs'!$B$198</f>
        <v>0</v>
      </c>
      <c r="C254" s="23">
        <f>B254</f>
        <v>0</v>
      </c>
      <c r="D254" s="23">
        <f>B254*B243</f>
        <v>0</v>
      </c>
      <c r="E254" s="14">
        <f>B254*C243</f>
        <v>0</v>
      </c>
      <c r="F254" s="21">
        <f>C254*B234*12</f>
        <v>0</v>
      </c>
      <c r="G254" s="21">
        <f>D254 *C234 *12</f>
        <v>0</v>
      </c>
      <c r="H254" s="62">
        <f>E254 *D234*12</f>
        <v>0</v>
      </c>
      <c r="I254" s="62">
        <f>SUM(F254:H254)</f>
        <v>0</v>
      </c>
      <c r="J254" s="24"/>
      <c r="K254" s="5"/>
    </row>
    <row r="255" spans="1:11" x14ac:dyDescent="0.2">
      <c r="A255" s="4">
        <f>A254+1</f>
        <v>2023</v>
      </c>
      <c r="B255" s="23">
        <f>'Baseline Inputs'!$C$198</f>
        <v>0</v>
      </c>
      <c r="C255" s="23">
        <f>C254+B255</f>
        <v>0</v>
      </c>
      <c r="D255" s="23">
        <f>D254+B255*B244</f>
        <v>0</v>
      </c>
      <c r="E255" s="14">
        <f>E254+B255*C244</f>
        <v>0</v>
      </c>
      <c r="F255" s="21">
        <f>C255*B235*12</f>
        <v>0</v>
      </c>
      <c r="G255" s="21">
        <f>D255 *C235 *12</f>
        <v>0</v>
      </c>
      <c r="H255" s="62">
        <f>E255 *D235*12</f>
        <v>0</v>
      </c>
      <c r="I255" s="62">
        <f>SUM(F255:H255)</f>
        <v>0</v>
      </c>
      <c r="J255" s="24"/>
      <c r="K255" s="5"/>
    </row>
    <row r="256" spans="1:11" x14ac:dyDescent="0.2">
      <c r="A256" s="4">
        <f>A255+1</f>
        <v>2024</v>
      </c>
      <c r="B256" s="23">
        <f>'Baseline Inputs'!$D$198</f>
        <v>0</v>
      </c>
      <c r="C256" s="23">
        <f>C255+B256</f>
        <v>0</v>
      </c>
      <c r="D256" s="23">
        <f>D255+B256*B245</f>
        <v>0</v>
      </c>
      <c r="E256" s="14">
        <f>E255+B256*C245</f>
        <v>0</v>
      </c>
      <c r="F256" s="21">
        <f>C256*B236*12</f>
        <v>0</v>
      </c>
      <c r="G256" s="21">
        <f>D256 *C236 *12</f>
        <v>0</v>
      </c>
      <c r="H256" s="62">
        <f>E256 *D236*12</f>
        <v>0</v>
      </c>
      <c r="I256" s="62">
        <f>SUM(F256:H256)</f>
        <v>0</v>
      </c>
      <c r="J256" s="24"/>
      <c r="K256" s="5"/>
    </row>
    <row r="257" spans="1:11" x14ac:dyDescent="0.2">
      <c r="A257" s="4">
        <f>A256+1</f>
        <v>2025</v>
      </c>
      <c r="B257" s="23">
        <f>'Baseline Inputs'!$E$198</f>
        <v>0</v>
      </c>
      <c r="C257" s="23">
        <f>C256+B257</f>
        <v>0</v>
      </c>
      <c r="D257" s="23">
        <f>D256+B257*B246</f>
        <v>0</v>
      </c>
      <c r="E257" s="14">
        <f>E256+B257*C246</f>
        <v>0</v>
      </c>
      <c r="F257" s="21">
        <f>C257*B237*12</f>
        <v>0</v>
      </c>
      <c r="G257" s="21">
        <f>D257 *C237 *12</f>
        <v>0</v>
      </c>
      <c r="H257" s="62">
        <f>E257 *D237*12</f>
        <v>0</v>
      </c>
      <c r="I257" s="62">
        <f>SUM(F257:H257)</f>
        <v>0</v>
      </c>
      <c r="J257" s="24"/>
      <c r="K257" s="5"/>
    </row>
    <row r="258" spans="1:11" x14ac:dyDescent="0.2">
      <c r="A258" s="4">
        <f>A257+1</f>
        <v>2026</v>
      </c>
      <c r="B258" s="23">
        <f>'Baseline Inputs'!$F$198</f>
        <v>0</v>
      </c>
      <c r="C258" s="23">
        <f>C257+B258</f>
        <v>0</v>
      </c>
      <c r="D258" s="23">
        <f>D257+B258*B247</f>
        <v>0</v>
      </c>
      <c r="E258" s="14">
        <f>E257+B258*C247</f>
        <v>0</v>
      </c>
      <c r="F258" s="21">
        <f>C258*B238*12</f>
        <v>0</v>
      </c>
      <c r="G258" s="21">
        <f>D258 *C238 *12</f>
        <v>0</v>
      </c>
      <c r="H258" s="62">
        <f>E258 *D238*12</f>
        <v>0</v>
      </c>
      <c r="I258" s="62">
        <f>SUM(F258:H258)</f>
        <v>0</v>
      </c>
      <c r="J258" s="24"/>
      <c r="K258" s="5"/>
    </row>
    <row r="261" spans="1:11" x14ac:dyDescent="0.2">
      <c r="A261" s="20" t="s">
        <v>43</v>
      </c>
      <c r="B261" s="20">
        <f>'Baseline Inputs'!$B$49</f>
        <v>0</v>
      </c>
    </row>
    <row r="263" spans="1:11" x14ac:dyDescent="0.2">
      <c r="B263" s="4" t="s">
        <v>28</v>
      </c>
      <c r="D263"/>
    </row>
    <row r="264" spans="1:11" x14ac:dyDescent="0.2">
      <c r="B264" s="10" t="s">
        <v>17</v>
      </c>
      <c r="C264" s="375" t="s">
        <v>26</v>
      </c>
      <c r="D264" s="375"/>
    </row>
    <row r="265" spans="1:11" x14ac:dyDescent="0.2">
      <c r="B265" s="14" t="s">
        <v>16</v>
      </c>
      <c r="C265" s="14" t="s">
        <v>13</v>
      </c>
      <c r="D265" s="14" t="s">
        <v>27</v>
      </c>
    </row>
    <row r="266" spans="1:11" x14ac:dyDescent="0.2">
      <c r="A266" s="4">
        <f>'Baseline Inputs'!$C$8</f>
        <v>2022</v>
      </c>
      <c r="B266" s="21">
        <f>'Baseline Inputs'!$B$65</f>
        <v>0</v>
      </c>
      <c r="C266" s="22">
        <f>'Baseline Inputs'!$C$65</f>
        <v>0</v>
      </c>
      <c r="D266" s="22">
        <f>'Baseline Inputs'!$D$65</f>
        <v>0</v>
      </c>
    </row>
    <row r="267" spans="1:11" x14ac:dyDescent="0.2">
      <c r="A267" s="4">
        <f>A266+1</f>
        <v>2023</v>
      </c>
      <c r="B267" s="21">
        <f>IF('Baseline Inputs'!$B$78=0,B266,'Baseline Inputs'!$B$78)</f>
        <v>0</v>
      </c>
      <c r="C267" s="22">
        <f>IF('Baseline Inputs'!$C$78=0,C266,'Baseline Inputs'!$C$78)</f>
        <v>0</v>
      </c>
      <c r="D267" s="22">
        <f>IF('Baseline Inputs'!$D$78=0,D266,'Baseline Inputs'!$D$78)</f>
        <v>0</v>
      </c>
      <c r="E267" s="23"/>
      <c r="F267" s="23"/>
      <c r="G267" s="23"/>
    </row>
    <row r="268" spans="1:11" x14ac:dyDescent="0.2">
      <c r="A268" s="4">
        <f>A267+1</f>
        <v>2024</v>
      </c>
      <c r="B268" s="21">
        <f>IF('Baseline Inputs'!$B$91 = 0, B267,'Baseline Inputs'!$B$91)</f>
        <v>0</v>
      </c>
      <c r="C268" s="22">
        <f>IF('Baseline Inputs'!$C$91 = 0, C267,'Baseline Inputs'!$C$91)</f>
        <v>0</v>
      </c>
      <c r="D268" s="22">
        <f>IF('Baseline Inputs'!$D$91 = 0, D267,'Baseline Inputs'!$D$91)</f>
        <v>0</v>
      </c>
      <c r="E268" s="23"/>
      <c r="F268" s="23"/>
      <c r="G268" s="23"/>
    </row>
    <row r="269" spans="1:11" x14ac:dyDescent="0.2">
      <c r="A269" s="4">
        <f>A268+1</f>
        <v>2025</v>
      </c>
      <c r="B269" s="21">
        <f>IF('Baseline Inputs'!$B$104 = 0, B268,'Baseline Inputs'!$B$104)</f>
        <v>0</v>
      </c>
      <c r="C269" s="22">
        <f>IF('Baseline Inputs'!$C$104 = 0, C268,'Baseline Inputs'!$C$104)</f>
        <v>0</v>
      </c>
      <c r="D269" s="22">
        <f>IF('Baseline Inputs'!$D$104 = 0, D268,'Baseline Inputs'!$D$104)</f>
        <v>0</v>
      </c>
      <c r="E269" s="23"/>
      <c r="F269" s="23"/>
      <c r="G269" s="23"/>
    </row>
    <row r="270" spans="1:11" x14ac:dyDescent="0.2">
      <c r="A270" s="4">
        <f>A269+1</f>
        <v>2026</v>
      </c>
      <c r="B270" s="21">
        <f>IF('Baseline Inputs'!$B$117 = 0, B269,'Baseline Inputs'!$B$117)</f>
        <v>0</v>
      </c>
      <c r="C270" s="22">
        <f>IF('Baseline Inputs'!$C$117 = 0, C269,'Baseline Inputs'!$C$117)</f>
        <v>0</v>
      </c>
      <c r="D270" s="22">
        <f>IF('Baseline Inputs'!$D$117 = 0, D269,'Baseline Inputs'!$D$117)</f>
        <v>0</v>
      </c>
      <c r="E270" s="23"/>
      <c r="F270" s="23"/>
      <c r="G270" s="23"/>
    </row>
    <row r="271" spans="1:11" x14ac:dyDescent="0.2">
      <c r="A271"/>
      <c r="B271" s="62"/>
      <c r="C271" s="62"/>
      <c r="D271" s="62"/>
      <c r="E271" s="23"/>
      <c r="F271" s="23"/>
      <c r="G271" s="23"/>
    </row>
    <row r="272" spans="1:11" x14ac:dyDescent="0.2">
      <c r="A272"/>
      <c r="B272" s="376" t="s">
        <v>29</v>
      </c>
      <c r="C272" s="376"/>
      <c r="D272" s="10"/>
      <c r="E272" s="23"/>
      <c r="F272" s="23"/>
      <c r="G272" s="23"/>
    </row>
    <row r="273" spans="1:11" x14ac:dyDescent="0.2">
      <c r="A273"/>
      <c r="B273" s="375" t="s">
        <v>30</v>
      </c>
      <c r="C273" s="375"/>
      <c r="D273" s="10"/>
      <c r="E273" s="23"/>
      <c r="F273" s="23"/>
      <c r="G273" s="23"/>
    </row>
    <row r="274" spans="1:11" x14ac:dyDescent="0.2">
      <c r="A274"/>
      <c r="B274" s="14" t="s">
        <v>31</v>
      </c>
      <c r="C274" s="14" t="s">
        <v>32</v>
      </c>
      <c r="E274" s="23"/>
      <c r="F274" s="23"/>
      <c r="G274" s="23"/>
    </row>
    <row r="275" spans="1:11" x14ac:dyDescent="0.2">
      <c r="A275" s="4">
        <f>'Baseline Inputs'!$C$8</f>
        <v>2022</v>
      </c>
      <c r="B275" s="23">
        <f>'Baseline Inputs'!$B$133</f>
        <v>0</v>
      </c>
      <c r="C275" s="23">
        <f>'Baseline Inputs'!$C$133</f>
        <v>0</v>
      </c>
      <c r="D275" s="23"/>
      <c r="E275" s="14"/>
      <c r="F275" s="14"/>
      <c r="G275" s="14"/>
    </row>
    <row r="276" spans="1:11" x14ac:dyDescent="0.2">
      <c r="A276" s="4">
        <f>A267</f>
        <v>2023</v>
      </c>
      <c r="B276" s="23">
        <f>IF('Baseline Inputs'!$B$146 = 0, B275,'Baseline Inputs'!$B$146)</f>
        <v>0</v>
      </c>
      <c r="C276" s="23">
        <f>IF('Baseline Inputs'!$C$146 = 0, C275,'Baseline Inputs'!$C$146)</f>
        <v>0</v>
      </c>
      <c r="D276" s="23"/>
      <c r="E276" s="14"/>
      <c r="F276" s="14"/>
      <c r="G276" s="14"/>
    </row>
    <row r="277" spans="1:11" x14ac:dyDescent="0.2">
      <c r="A277" s="4">
        <f>A268</f>
        <v>2024</v>
      </c>
      <c r="B277" s="23">
        <f>IF('Baseline Inputs'!$B$159 = 0, B276,'Baseline Inputs'!$B$159)</f>
        <v>0</v>
      </c>
      <c r="C277" s="23">
        <f>IF('Baseline Inputs'!$C$159 = 0, C276,'Baseline Inputs'!$C$159)</f>
        <v>0</v>
      </c>
      <c r="D277" s="23"/>
      <c r="E277" s="14"/>
      <c r="F277" s="14"/>
      <c r="G277" s="14"/>
    </row>
    <row r="278" spans="1:11" x14ac:dyDescent="0.2">
      <c r="A278" s="4">
        <f>A269</f>
        <v>2025</v>
      </c>
      <c r="B278" s="23">
        <f>IF('Baseline Inputs'!$B$172 = 0, B277,'Baseline Inputs'!$B$172)</f>
        <v>0</v>
      </c>
      <c r="C278" s="23">
        <f>IF('Baseline Inputs'!$C$172 = 0, C277,'Baseline Inputs'!$C$172)</f>
        <v>0</v>
      </c>
      <c r="D278" s="23"/>
      <c r="E278" s="14"/>
      <c r="F278" s="14"/>
      <c r="G278" s="14"/>
    </row>
    <row r="279" spans="1:11" x14ac:dyDescent="0.2">
      <c r="A279" s="4">
        <f>A270</f>
        <v>2026</v>
      </c>
      <c r="B279" s="23">
        <f>IF('Baseline Inputs'!$B$185 = 0, B278,'Baseline Inputs'!$B$185)</f>
        <v>0</v>
      </c>
      <c r="C279" s="23">
        <f>IF('Baseline Inputs'!$C$185 = 0, C278,'Baseline Inputs'!$C$185)</f>
        <v>0</v>
      </c>
      <c r="D279" s="23"/>
      <c r="E279" s="14"/>
      <c r="F279" s="14"/>
      <c r="G279" s="14"/>
    </row>
    <row r="280" spans="1:11" x14ac:dyDescent="0.2">
      <c r="B280" s="23"/>
      <c r="C280" s="23"/>
      <c r="D280" s="23"/>
      <c r="E280" s="14"/>
      <c r="F280" s="14"/>
      <c r="G280" s="14"/>
    </row>
    <row r="281" spans="1:11" x14ac:dyDescent="0.2">
      <c r="B281" s="21"/>
      <c r="C281" s="22"/>
      <c r="D281" s="22"/>
      <c r="E281" s="14"/>
      <c r="F281" s="14" t="s">
        <v>45</v>
      </c>
      <c r="G281" s="14" t="s">
        <v>45</v>
      </c>
      <c r="H281" s="14" t="s">
        <v>45</v>
      </c>
      <c r="K281" s="14"/>
    </row>
    <row r="282" spans="1:11" x14ac:dyDescent="0.2">
      <c r="B282" s="21"/>
      <c r="C282" s="22"/>
      <c r="D282" s="22" t="s">
        <v>51</v>
      </c>
      <c r="E282" s="14" t="s">
        <v>52</v>
      </c>
      <c r="F282" s="14" t="s">
        <v>50</v>
      </c>
      <c r="G282" s="14" t="s">
        <v>47</v>
      </c>
      <c r="H282" s="14" t="s">
        <v>48</v>
      </c>
      <c r="K282" s="14"/>
    </row>
    <row r="283" spans="1:11" x14ac:dyDescent="0.2">
      <c r="B283" s="21" t="s">
        <v>45</v>
      </c>
      <c r="C283" s="22" t="s">
        <v>46</v>
      </c>
      <c r="D283" s="22" t="s">
        <v>47</v>
      </c>
      <c r="E283" s="14" t="s">
        <v>48</v>
      </c>
      <c r="F283" s="14" t="s">
        <v>17</v>
      </c>
      <c r="G283" s="14" t="s">
        <v>17</v>
      </c>
      <c r="H283" s="14" t="s">
        <v>17</v>
      </c>
      <c r="I283" s="14" t="s">
        <v>35</v>
      </c>
      <c r="J283" s="14"/>
      <c r="K283" s="14"/>
    </row>
    <row r="284" spans="1:11" x14ac:dyDescent="0.2">
      <c r="B284" s="21" t="s">
        <v>44</v>
      </c>
      <c r="C284" s="22" t="s">
        <v>44</v>
      </c>
      <c r="D284" s="22" t="s">
        <v>31</v>
      </c>
      <c r="E284" s="14" t="s">
        <v>49</v>
      </c>
      <c r="F284" s="14" t="s">
        <v>7</v>
      </c>
      <c r="G284" s="14" t="s">
        <v>7</v>
      </c>
      <c r="H284" s="14" t="s">
        <v>7</v>
      </c>
      <c r="I284" s="14" t="s">
        <v>7</v>
      </c>
      <c r="J284" s="14"/>
      <c r="K284" s="14"/>
    </row>
    <row r="285" spans="1:11" x14ac:dyDescent="0.2">
      <c r="B285" s="21"/>
      <c r="C285" s="22"/>
      <c r="D285" s="22"/>
      <c r="E285" s="14"/>
      <c r="F285" s="14"/>
      <c r="G285" s="14"/>
    </row>
    <row r="286" spans="1:11" x14ac:dyDescent="0.2">
      <c r="A286" s="4">
        <f>'Baseline Inputs'!$C$8</f>
        <v>2022</v>
      </c>
      <c r="B286" s="23">
        <f>'Baseline Inputs'!$B$199</f>
        <v>0</v>
      </c>
      <c r="C286" s="23">
        <f>B286</f>
        <v>0</v>
      </c>
      <c r="D286" s="23">
        <f>B286*B275</f>
        <v>0</v>
      </c>
      <c r="E286" s="14">
        <f>B286*C275</f>
        <v>0</v>
      </c>
      <c r="F286" s="21">
        <f>C286*B266*12</f>
        <v>0</v>
      </c>
      <c r="G286" s="21">
        <f>D286 *C266 *12</f>
        <v>0</v>
      </c>
      <c r="H286" s="62">
        <f>E286 *D266*12</f>
        <v>0</v>
      </c>
      <c r="I286" s="62">
        <f>SUM(F286:H286)</f>
        <v>0</v>
      </c>
      <c r="J286" s="24"/>
      <c r="K286" s="5"/>
    </row>
    <row r="287" spans="1:11" x14ac:dyDescent="0.2">
      <c r="A287" s="4">
        <f>A286+1</f>
        <v>2023</v>
      </c>
      <c r="B287" s="23">
        <f>'Baseline Inputs'!$C$199</f>
        <v>0</v>
      </c>
      <c r="C287" s="23">
        <f>C286+B287</f>
        <v>0</v>
      </c>
      <c r="D287" s="23">
        <f>D286+B287*B276</f>
        <v>0</v>
      </c>
      <c r="E287" s="14">
        <f>E286+B287*C276</f>
        <v>0</v>
      </c>
      <c r="F287" s="21">
        <f>C287*B267*12</f>
        <v>0</v>
      </c>
      <c r="G287" s="21">
        <f>D287 *C267 *12</f>
        <v>0</v>
      </c>
      <c r="H287" s="62">
        <f>E287 *D267*12</f>
        <v>0</v>
      </c>
      <c r="I287" s="62">
        <f>SUM(F287:H287)</f>
        <v>0</v>
      </c>
      <c r="J287" s="24"/>
      <c r="K287" s="5"/>
    </row>
    <row r="288" spans="1:11" x14ac:dyDescent="0.2">
      <c r="A288" s="4">
        <f>A287+1</f>
        <v>2024</v>
      </c>
      <c r="B288" s="23">
        <f>'Baseline Inputs'!$D$199</f>
        <v>0</v>
      </c>
      <c r="C288" s="23">
        <f>C287+B288</f>
        <v>0</v>
      </c>
      <c r="D288" s="23">
        <f>D287+B288*B277</f>
        <v>0</v>
      </c>
      <c r="E288" s="14">
        <f>E287+B288*C277</f>
        <v>0</v>
      </c>
      <c r="F288" s="21">
        <f>C288*B268*12</f>
        <v>0</v>
      </c>
      <c r="G288" s="21">
        <f>D288 *C268 *12</f>
        <v>0</v>
      </c>
      <c r="H288" s="62">
        <f>E288 *D268*12</f>
        <v>0</v>
      </c>
      <c r="I288" s="62">
        <f>SUM(F288:H288)</f>
        <v>0</v>
      </c>
      <c r="J288" s="24"/>
      <c r="K288" s="5"/>
    </row>
    <row r="289" spans="1:11" x14ac:dyDescent="0.2">
      <c r="A289" s="4">
        <f>A288+1</f>
        <v>2025</v>
      </c>
      <c r="B289" s="23">
        <f>'Baseline Inputs'!$E$199</f>
        <v>0</v>
      </c>
      <c r="C289" s="23">
        <f>C288+B289</f>
        <v>0</v>
      </c>
      <c r="D289" s="23">
        <f>D288+B289*B278</f>
        <v>0</v>
      </c>
      <c r="E289" s="14">
        <f>E288+B289*C278</f>
        <v>0</v>
      </c>
      <c r="F289" s="21">
        <f>C289*B269*12</f>
        <v>0</v>
      </c>
      <c r="G289" s="21">
        <f>D289 *C269 *12</f>
        <v>0</v>
      </c>
      <c r="H289" s="62">
        <f>E289 *D269*12</f>
        <v>0</v>
      </c>
      <c r="I289" s="62">
        <f>SUM(F289:H289)</f>
        <v>0</v>
      </c>
      <c r="J289" s="24"/>
      <c r="K289" s="5"/>
    </row>
    <row r="290" spans="1:11" x14ac:dyDescent="0.2">
      <c r="A290" s="4">
        <f>A289+1</f>
        <v>2026</v>
      </c>
      <c r="B290" s="23">
        <f>'Baseline Inputs'!$F$199</f>
        <v>0</v>
      </c>
      <c r="C290" s="23">
        <f>C289+B290</f>
        <v>0</v>
      </c>
      <c r="D290" s="23">
        <f>D289+B290*B279</f>
        <v>0</v>
      </c>
      <c r="E290" s="14">
        <f>E289+B290*C279</f>
        <v>0</v>
      </c>
      <c r="F290" s="21">
        <f>C290*B270*12</f>
        <v>0</v>
      </c>
      <c r="G290" s="21">
        <f>D290 *C270 *12</f>
        <v>0</v>
      </c>
      <c r="H290" s="62">
        <f>E290 *D270*12</f>
        <v>0</v>
      </c>
      <c r="I290" s="62">
        <f>SUM(F290:H290)</f>
        <v>0</v>
      </c>
      <c r="J290" s="24"/>
      <c r="K290" s="5"/>
    </row>
    <row r="293" spans="1:11" x14ac:dyDescent="0.2">
      <c r="A293" s="20" t="s">
        <v>43</v>
      </c>
      <c r="B293" s="20">
        <f>'Baseline Inputs'!$B$50</f>
        <v>0</v>
      </c>
    </row>
    <row r="295" spans="1:11" x14ac:dyDescent="0.2">
      <c r="B295" s="4" t="s">
        <v>28</v>
      </c>
      <c r="D295"/>
    </row>
    <row r="296" spans="1:11" x14ac:dyDescent="0.2">
      <c r="B296" s="10" t="s">
        <v>17</v>
      </c>
      <c r="C296" s="375" t="s">
        <v>26</v>
      </c>
      <c r="D296" s="375"/>
    </row>
    <row r="297" spans="1:11" x14ac:dyDescent="0.2">
      <c r="B297" s="14" t="s">
        <v>16</v>
      </c>
      <c r="C297" s="14" t="s">
        <v>13</v>
      </c>
      <c r="D297" s="14" t="s">
        <v>27</v>
      </c>
    </row>
    <row r="298" spans="1:11" x14ac:dyDescent="0.2">
      <c r="A298" s="4">
        <f>'Baseline Inputs'!$C$8</f>
        <v>2022</v>
      </c>
      <c r="B298" s="21">
        <f>'Baseline Inputs'!$B$66</f>
        <v>0</v>
      </c>
      <c r="C298" s="22">
        <f>'Baseline Inputs'!$C$66</f>
        <v>0</v>
      </c>
      <c r="D298" s="22">
        <f>'Baseline Inputs'!$D$66</f>
        <v>0</v>
      </c>
    </row>
    <row r="299" spans="1:11" x14ac:dyDescent="0.2">
      <c r="A299" s="4">
        <f>A298+1</f>
        <v>2023</v>
      </c>
      <c r="B299" s="21">
        <f>IF('Baseline Inputs'!$B$79=0,B298,'Baseline Inputs'!$B$79)</f>
        <v>0</v>
      </c>
      <c r="C299" s="22">
        <f>IF('Baseline Inputs'!$C$79=0,C298,'Baseline Inputs'!$C$79)</f>
        <v>0</v>
      </c>
      <c r="D299" s="22">
        <f>IF('Baseline Inputs'!$D$79=0,D298,'Baseline Inputs'!$D$79)</f>
        <v>0</v>
      </c>
      <c r="E299" s="23"/>
      <c r="F299" s="23"/>
      <c r="G299" s="23"/>
    </row>
    <row r="300" spans="1:11" x14ac:dyDescent="0.2">
      <c r="A300" s="4">
        <f>A299+1</f>
        <v>2024</v>
      </c>
      <c r="B300" s="21">
        <f>IF('Baseline Inputs'!$B$92 = 0, B299,'Baseline Inputs'!$B$92)</f>
        <v>0</v>
      </c>
      <c r="C300" s="22">
        <f>IF('Baseline Inputs'!$C$92 = 0, C299,'Baseline Inputs'!$C$92)</f>
        <v>0</v>
      </c>
      <c r="D300" s="22">
        <f>IF('Baseline Inputs'!$D$92 = 0, D299,'Baseline Inputs'!$D$92)</f>
        <v>0</v>
      </c>
      <c r="E300" s="23"/>
      <c r="F300" s="23"/>
      <c r="G300" s="23"/>
    </row>
    <row r="301" spans="1:11" x14ac:dyDescent="0.2">
      <c r="A301" s="4">
        <f>A300+1</f>
        <v>2025</v>
      </c>
      <c r="B301" s="21">
        <f>IF('Baseline Inputs'!$B$105 = 0, B300,'Baseline Inputs'!$B$105)</f>
        <v>0</v>
      </c>
      <c r="C301" s="22">
        <f>IF('Baseline Inputs'!$C$105 = 0, C300,'Baseline Inputs'!$C$105)</f>
        <v>0</v>
      </c>
      <c r="D301" s="22">
        <f>IF('Baseline Inputs'!$D$105 = 0, D300,'Baseline Inputs'!$D$105)</f>
        <v>0</v>
      </c>
      <c r="E301" s="23"/>
      <c r="F301" s="23"/>
      <c r="G301" s="23"/>
    </row>
    <row r="302" spans="1:11" x14ac:dyDescent="0.2">
      <c r="A302" s="4">
        <f>A301+1</f>
        <v>2026</v>
      </c>
      <c r="B302" s="21">
        <f>IF('Baseline Inputs'!$B$118 = 0, B301,'Baseline Inputs'!$B$118)</f>
        <v>0</v>
      </c>
      <c r="C302" s="22">
        <f>IF('Baseline Inputs'!$C$118 = 0, C301,'Baseline Inputs'!$C$118)</f>
        <v>0</v>
      </c>
      <c r="D302" s="22">
        <f>IF('Baseline Inputs'!$D$118 = 0, D301,'Baseline Inputs'!$D$118)</f>
        <v>0</v>
      </c>
      <c r="E302" s="23"/>
      <c r="F302" s="23"/>
      <c r="G302" s="23"/>
    </row>
    <row r="303" spans="1:11" x14ac:dyDescent="0.2">
      <c r="A303"/>
      <c r="B303" s="62"/>
      <c r="C303" s="62"/>
      <c r="D303" s="62"/>
      <c r="E303" s="23"/>
      <c r="F303" s="23"/>
      <c r="G303" s="23"/>
    </row>
    <row r="304" spans="1:11" x14ac:dyDescent="0.2">
      <c r="A304"/>
      <c r="B304" s="376" t="s">
        <v>29</v>
      </c>
      <c r="C304" s="376"/>
      <c r="D304" s="10"/>
      <c r="E304" s="23"/>
      <c r="F304" s="23"/>
      <c r="G304" s="23"/>
    </row>
    <row r="305" spans="1:11" x14ac:dyDescent="0.2">
      <c r="A305"/>
      <c r="B305" s="375" t="s">
        <v>30</v>
      </c>
      <c r="C305" s="375"/>
      <c r="D305" s="10"/>
      <c r="E305" s="23"/>
      <c r="F305" s="23"/>
      <c r="G305" s="23"/>
    </row>
    <row r="306" spans="1:11" x14ac:dyDescent="0.2">
      <c r="A306"/>
      <c r="B306" s="14" t="s">
        <v>31</v>
      </c>
      <c r="C306" s="14" t="s">
        <v>32</v>
      </c>
      <c r="E306" s="23"/>
      <c r="F306" s="23"/>
      <c r="G306" s="23"/>
    </row>
    <row r="307" spans="1:11" x14ac:dyDescent="0.2">
      <c r="A307" s="4">
        <f>'Baseline Inputs'!$C$8</f>
        <v>2022</v>
      </c>
      <c r="B307" s="23">
        <f>'Baseline Inputs'!$B$134</f>
        <v>0</v>
      </c>
      <c r="C307" s="23">
        <f>'Baseline Inputs'!$C$134</f>
        <v>0</v>
      </c>
      <c r="D307" s="23"/>
      <c r="E307" s="14"/>
      <c r="F307" s="14"/>
      <c r="G307" s="14"/>
    </row>
    <row r="308" spans="1:11" x14ac:dyDescent="0.2">
      <c r="A308" s="4">
        <f>A299</f>
        <v>2023</v>
      </c>
      <c r="B308" s="23">
        <f>IF('Baseline Inputs'!$B$147 = 0, B307,'Baseline Inputs'!$B$147)</f>
        <v>0</v>
      </c>
      <c r="C308" s="23">
        <f>IF('Baseline Inputs'!$C$147 = 0, C307,'Baseline Inputs'!$C$147)</f>
        <v>0</v>
      </c>
      <c r="D308" s="23"/>
      <c r="E308" s="14"/>
      <c r="F308" s="14"/>
      <c r="G308" s="14"/>
    </row>
    <row r="309" spans="1:11" x14ac:dyDescent="0.2">
      <c r="A309" s="4">
        <f>A300</f>
        <v>2024</v>
      </c>
      <c r="B309" s="23">
        <f>IF('Baseline Inputs'!$B$160 = 0, B308,'Baseline Inputs'!$B$160)</f>
        <v>0</v>
      </c>
      <c r="C309" s="23">
        <f>IF('Baseline Inputs'!$C$160 = 0, C308,'Baseline Inputs'!$C$160)</f>
        <v>0</v>
      </c>
      <c r="D309" s="23"/>
      <c r="E309" s="14"/>
      <c r="F309" s="14"/>
      <c r="G309" s="14"/>
    </row>
    <row r="310" spans="1:11" x14ac:dyDescent="0.2">
      <c r="A310" s="4">
        <f>A301</f>
        <v>2025</v>
      </c>
      <c r="B310" s="23">
        <f>IF('Baseline Inputs'!$B$173 = 0, B309,'Baseline Inputs'!$B$173)</f>
        <v>0</v>
      </c>
      <c r="C310" s="23">
        <f>IF('Baseline Inputs'!$C$173 = 0, C309,'Baseline Inputs'!$C$173)</f>
        <v>0</v>
      </c>
      <c r="D310" s="23"/>
      <c r="E310" s="14"/>
      <c r="F310" s="14"/>
      <c r="G310" s="14"/>
    </row>
    <row r="311" spans="1:11" x14ac:dyDescent="0.2">
      <c r="A311" s="4">
        <f>A302</f>
        <v>2026</v>
      </c>
      <c r="B311" s="23">
        <f>IF('Baseline Inputs'!$B$186 = 0, B310,'Baseline Inputs'!$B$186)</f>
        <v>0</v>
      </c>
      <c r="C311" s="23">
        <f>IF('Baseline Inputs'!$C$186 = 0, C310,'Baseline Inputs'!$C$186)</f>
        <v>0</v>
      </c>
      <c r="D311" s="23"/>
      <c r="E311" s="14"/>
      <c r="F311" s="14"/>
      <c r="G311" s="14"/>
    </row>
    <row r="312" spans="1:11" x14ac:dyDescent="0.2">
      <c r="B312" s="23"/>
      <c r="C312" s="23"/>
      <c r="D312" s="23"/>
      <c r="E312" s="14"/>
      <c r="F312" s="14"/>
      <c r="G312" s="14"/>
    </row>
    <row r="313" spans="1:11" x14ac:dyDescent="0.2">
      <c r="B313" s="21"/>
      <c r="C313" s="22"/>
      <c r="D313" s="22"/>
      <c r="E313" s="14"/>
      <c r="F313" s="14" t="s">
        <v>45</v>
      </c>
      <c r="G313" s="14" t="s">
        <v>45</v>
      </c>
      <c r="H313" s="14" t="s">
        <v>45</v>
      </c>
      <c r="K313" s="14"/>
    </row>
    <row r="314" spans="1:11" x14ac:dyDescent="0.2">
      <c r="B314" s="21"/>
      <c r="C314" s="22"/>
      <c r="D314" s="22" t="s">
        <v>51</v>
      </c>
      <c r="E314" s="14" t="s">
        <v>52</v>
      </c>
      <c r="F314" s="14" t="s">
        <v>50</v>
      </c>
      <c r="G314" s="14" t="s">
        <v>47</v>
      </c>
      <c r="H314" s="14" t="s">
        <v>48</v>
      </c>
      <c r="K314" s="14"/>
    </row>
    <row r="315" spans="1:11" x14ac:dyDescent="0.2">
      <c r="B315" s="21" t="s">
        <v>45</v>
      </c>
      <c r="C315" s="22" t="s">
        <v>46</v>
      </c>
      <c r="D315" s="22" t="s">
        <v>47</v>
      </c>
      <c r="E315" s="14" t="s">
        <v>48</v>
      </c>
      <c r="F315" s="14" t="s">
        <v>17</v>
      </c>
      <c r="G315" s="14" t="s">
        <v>17</v>
      </c>
      <c r="H315" s="14" t="s">
        <v>17</v>
      </c>
      <c r="I315" s="14" t="s">
        <v>35</v>
      </c>
      <c r="J315" s="14"/>
      <c r="K315" s="14"/>
    </row>
    <row r="316" spans="1:11" x14ac:dyDescent="0.2">
      <c r="B316" s="21" t="s">
        <v>44</v>
      </c>
      <c r="C316" s="22" t="s">
        <v>44</v>
      </c>
      <c r="D316" s="22" t="s">
        <v>31</v>
      </c>
      <c r="E316" s="14" t="s">
        <v>49</v>
      </c>
      <c r="F316" s="14" t="s">
        <v>7</v>
      </c>
      <c r="G316" s="14" t="s">
        <v>7</v>
      </c>
      <c r="H316" s="14" t="s">
        <v>7</v>
      </c>
      <c r="I316" s="14" t="s">
        <v>7</v>
      </c>
      <c r="J316" s="14"/>
      <c r="K316" s="14"/>
    </row>
    <row r="317" spans="1:11" x14ac:dyDescent="0.2">
      <c r="B317" s="21"/>
      <c r="C317" s="22"/>
      <c r="D317" s="22"/>
      <c r="E317" s="14"/>
      <c r="F317" s="14"/>
      <c r="G317" s="14"/>
    </row>
    <row r="318" spans="1:11" x14ac:dyDescent="0.2">
      <c r="A318" s="4">
        <f>'Baseline Inputs'!$C$8</f>
        <v>2022</v>
      </c>
      <c r="B318" s="23">
        <f>'Baseline Inputs'!$B$200</f>
        <v>0</v>
      </c>
      <c r="C318" s="23">
        <f>B318</f>
        <v>0</v>
      </c>
      <c r="D318" s="23">
        <f>B318*B307</f>
        <v>0</v>
      </c>
      <c r="E318" s="14">
        <f>B318*C307</f>
        <v>0</v>
      </c>
      <c r="F318" s="21">
        <f>C318*B298*12</f>
        <v>0</v>
      </c>
      <c r="G318" s="21">
        <f>D318 *C298 *12</f>
        <v>0</v>
      </c>
      <c r="H318" s="62">
        <f>E318 *D298*12</f>
        <v>0</v>
      </c>
      <c r="I318" s="62">
        <f>SUM(F318:H318)</f>
        <v>0</v>
      </c>
      <c r="J318" s="24"/>
      <c r="K318" s="5"/>
    </row>
    <row r="319" spans="1:11" x14ac:dyDescent="0.2">
      <c r="A319" s="4">
        <f>A318+1</f>
        <v>2023</v>
      </c>
      <c r="B319" s="23">
        <f>'Baseline Inputs'!$C$200</f>
        <v>0</v>
      </c>
      <c r="C319" s="23">
        <f>C318+B319</f>
        <v>0</v>
      </c>
      <c r="D319" s="23">
        <f>D318+B319*B308</f>
        <v>0</v>
      </c>
      <c r="E319" s="14">
        <f>E318+B319*C308</f>
        <v>0</v>
      </c>
      <c r="F319" s="21">
        <f>C319*B299*12</f>
        <v>0</v>
      </c>
      <c r="G319" s="21">
        <f>D319 *C299 *12</f>
        <v>0</v>
      </c>
      <c r="H319" s="62">
        <f>E319 *D299*12</f>
        <v>0</v>
      </c>
      <c r="I319" s="62">
        <f>SUM(F319:H319)</f>
        <v>0</v>
      </c>
      <c r="J319" s="24"/>
      <c r="K319" s="5"/>
    </row>
    <row r="320" spans="1:11" x14ac:dyDescent="0.2">
      <c r="A320" s="4">
        <f>A319+1</f>
        <v>2024</v>
      </c>
      <c r="B320" s="23">
        <f>'Baseline Inputs'!$D$200</f>
        <v>0</v>
      </c>
      <c r="C320" s="23">
        <f>C319+B320</f>
        <v>0</v>
      </c>
      <c r="D320" s="23">
        <f>D319+B320*B309</f>
        <v>0</v>
      </c>
      <c r="E320" s="14">
        <f>E319+B320*C309</f>
        <v>0</v>
      </c>
      <c r="F320" s="21">
        <f>C320*B300*12</f>
        <v>0</v>
      </c>
      <c r="G320" s="21">
        <f>D320 *C300 *12</f>
        <v>0</v>
      </c>
      <c r="H320" s="62">
        <f>E320 *D300*12</f>
        <v>0</v>
      </c>
      <c r="I320" s="62">
        <f>SUM(F320:H320)</f>
        <v>0</v>
      </c>
      <c r="J320" s="24"/>
      <c r="K320" s="5"/>
    </row>
    <row r="321" spans="1:13" x14ac:dyDescent="0.2">
      <c r="A321" s="4">
        <f>A320+1</f>
        <v>2025</v>
      </c>
      <c r="B321" s="23">
        <f>'Baseline Inputs'!$E$200</f>
        <v>0</v>
      </c>
      <c r="C321" s="23">
        <f>C320+B321</f>
        <v>0</v>
      </c>
      <c r="D321" s="23">
        <f>D320+B321*B310</f>
        <v>0</v>
      </c>
      <c r="E321" s="14">
        <f>E320+B321*C310</f>
        <v>0</v>
      </c>
      <c r="F321" s="21">
        <f>C321*B301*12</f>
        <v>0</v>
      </c>
      <c r="G321" s="21">
        <f>D321 *C301 *12</f>
        <v>0</v>
      </c>
      <c r="H321" s="62">
        <f>E321 *D301*12</f>
        <v>0</v>
      </c>
      <c r="I321" s="62">
        <f>SUM(F321:H321)</f>
        <v>0</v>
      </c>
      <c r="J321" s="24"/>
      <c r="K321" s="5"/>
    </row>
    <row r="322" spans="1:13" x14ac:dyDescent="0.2">
      <c r="A322" s="4">
        <f>A321+1</f>
        <v>2026</v>
      </c>
      <c r="B322" s="23">
        <f>'Baseline Inputs'!$F$200</f>
        <v>0</v>
      </c>
      <c r="C322" s="23">
        <f>C321+B322</f>
        <v>0</v>
      </c>
      <c r="D322" s="23">
        <f>D321+B322*B311</f>
        <v>0</v>
      </c>
      <c r="E322" s="14">
        <f>E321+B322*C311</f>
        <v>0</v>
      </c>
      <c r="F322" s="21">
        <f>C322*B302*12</f>
        <v>0</v>
      </c>
      <c r="G322" s="21">
        <f>D322 *C302 *12</f>
        <v>0</v>
      </c>
      <c r="H322" s="62">
        <f>E322 *D302*12</f>
        <v>0</v>
      </c>
      <c r="I322" s="62">
        <f>SUM(F322:H322)</f>
        <v>0</v>
      </c>
      <c r="J322" s="24"/>
      <c r="K322" s="5"/>
    </row>
    <row r="324" spans="1:13" x14ac:dyDescent="0.2">
      <c r="A324" s="6" t="s">
        <v>55</v>
      </c>
    </row>
    <row r="325" spans="1:13" x14ac:dyDescent="0.2">
      <c r="A325" s="6"/>
    </row>
    <row r="326" spans="1:13" x14ac:dyDescent="0.2">
      <c r="B326" s="4" t="str">
        <f>B5</f>
        <v>Residential</v>
      </c>
      <c r="C326" s="4" t="str">
        <f>B37</f>
        <v>General Service &lt; 50</v>
      </c>
      <c r="D326" s="4" t="str">
        <f>B69</f>
        <v>General Service &gt; 50</v>
      </c>
      <c r="E326" s="4" t="str">
        <f>B101</f>
        <v xml:space="preserve">Unmetered Scattered Load </v>
      </c>
      <c r="F326" s="4">
        <f>B133</f>
        <v>0</v>
      </c>
      <c r="G326" s="4">
        <f>B165</f>
        <v>0</v>
      </c>
      <c r="H326" s="5">
        <f>B197</f>
        <v>0</v>
      </c>
      <c r="I326" s="4">
        <f>B229</f>
        <v>0</v>
      </c>
      <c r="J326">
        <f>B261</f>
        <v>0</v>
      </c>
      <c r="K326" s="4">
        <f>B293</f>
        <v>0</v>
      </c>
      <c r="L326" s="4" t="s">
        <v>35</v>
      </c>
      <c r="M326" s="4" t="s">
        <v>45</v>
      </c>
    </row>
    <row r="327" spans="1:13" x14ac:dyDescent="0.2">
      <c r="A327" s="6" t="s">
        <v>7</v>
      </c>
      <c r="L327" s="4"/>
    </row>
    <row r="328" spans="1:13" x14ac:dyDescent="0.2">
      <c r="A328" s="6"/>
      <c r="L328" s="4"/>
    </row>
    <row r="329" spans="1:13" x14ac:dyDescent="0.2">
      <c r="A329" s="4">
        <f>'Baseline Inputs'!$C$8</f>
        <v>2022</v>
      </c>
      <c r="B329" s="62">
        <f>$I$30</f>
        <v>2373.12</v>
      </c>
      <c r="C329" s="62">
        <f>$I$62</f>
        <v>0</v>
      </c>
      <c r="D329" s="62">
        <f>$I$94</f>
        <v>0</v>
      </c>
      <c r="E329" s="62">
        <f>$I$126</f>
        <v>0</v>
      </c>
      <c r="F329" s="62">
        <f>$I$158</f>
        <v>0</v>
      </c>
      <c r="G329" s="62">
        <f>$I$190</f>
        <v>0</v>
      </c>
      <c r="H329" s="62">
        <f>$I$222</f>
        <v>0</v>
      </c>
      <c r="I329" s="62">
        <f>$I$254</f>
        <v>0</v>
      </c>
      <c r="J329" s="62">
        <f>$I$286</f>
        <v>0</v>
      </c>
      <c r="K329" s="62">
        <f>$I$318</f>
        <v>0</v>
      </c>
      <c r="L329" s="62">
        <f>SUM(B329:K329)</f>
        <v>2373.12</v>
      </c>
    </row>
    <row r="330" spans="1:13" x14ac:dyDescent="0.2">
      <c r="A330" s="4">
        <f>A329+1</f>
        <v>2023</v>
      </c>
      <c r="B330" s="62">
        <f>I31</f>
        <v>3064.2911999999997</v>
      </c>
      <c r="C330" s="62">
        <f>I63</f>
        <v>0</v>
      </c>
      <c r="D330" s="62">
        <f>I95</f>
        <v>0</v>
      </c>
      <c r="E330" s="62">
        <f>I127</f>
        <v>0</v>
      </c>
      <c r="F330" s="62">
        <f>I159</f>
        <v>0</v>
      </c>
      <c r="G330" s="62">
        <f>I191</f>
        <v>0</v>
      </c>
      <c r="H330" s="62">
        <f>I223</f>
        <v>0</v>
      </c>
      <c r="I330" s="62">
        <f>I255</f>
        <v>0</v>
      </c>
      <c r="J330" s="62">
        <f>I255</f>
        <v>0</v>
      </c>
      <c r="K330" s="62">
        <f>I319</f>
        <v>0</v>
      </c>
      <c r="L330" s="62">
        <f>SUM(B330:K330)</f>
        <v>3064.2911999999997</v>
      </c>
    </row>
    <row r="331" spans="1:13" x14ac:dyDescent="0.2">
      <c r="A331" s="4">
        <f>A330+1</f>
        <v>2024</v>
      </c>
      <c r="B331" s="62">
        <f>I32</f>
        <v>3125.5770239999997</v>
      </c>
      <c r="C331" s="62">
        <f>I64</f>
        <v>0</v>
      </c>
      <c r="D331" s="62">
        <f>I96</f>
        <v>0</v>
      </c>
      <c r="E331" s="62">
        <f>I128</f>
        <v>0</v>
      </c>
      <c r="F331" s="62">
        <f>I160</f>
        <v>0</v>
      </c>
      <c r="G331" s="62">
        <f>I192</f>
        <v>0</v>
      </c>
      <c r="H331" s="62">
        <f>I224</f>
        <v>0</v>
      </c>
      <c r="I331" s="62">
        <f>I256</f>
        <v>0</v>
      </c>
      <c r="J331" s="62">
        <f>I256</f>
        <v>0</v>
      </c>
      <c r="K331" s="62">
        <f>I320</f>
        <v>0</v>
      </c>
      <c r="L331" s="62">
        <f>SUM(B331:K331)</f>
        <v>3125.5770239999997</v>
      </c>
    </row>
    <row r="332" spans="1:13" x14ac:dyDescent="0.2">
      <c r="A332" s="4">
        <f>A331+1</f>
        <v>2025</v>
      </c>
      <c r="B332" s="62">
        <f>I33</f>
        <v>3188.0885644800001</v>
      </c>
      <c r="C332" s="62">
        <f>I65</f>
        <v>0</v>
      </c>
      <c r="D332" s="62">
        <f>I97</f>
        <v>0</v>
      </c>
      <c r="E332" s="62">
        <f>I129</f>
        <v>0</v>
      </c>
      <c r="F332" s="62">
        <f>I161</f>
        <v>0</v>
      </c>
      <c r="G332" s="62">
        <f>I193</f>
        <v>0</v>
      </c>
      <c r="H332" s="62">
        <f>I225</f>
        <v>0</v>
      </c>
      <c r="I332" s="62">
        <f>I257</f>
        <v>0</v>
      </c>
      <c r="J332" s="62">
        <f>I257</f>
        <v>0</v>
      </c>
      <c r="K332" s="62">
        <f>I321</f>
        <v>0</v>
      </c>
      <c r="L332" s="62">
        <f>SUM(B332:K332)</f>
        <v>3188.0885644800001</v>
      </c>
    </row>
    <row r="333" spans="1:13" x14ac:dyDescent="0.2">
      <c r="A333" s="4">
        <f>A332+1</f>
        <v>2026</v>
      </c>
      <c r="B333" s="62">
        <f>I34</f>
        <v>3251.8503357696</v>
      </c>
      <c r="C333" s="62">
        <f>I66</f>
        <v>0</v>
      </c>
      <c r="D333" s="62">
        <f>I98</f>
        <v>0</v>
      </c>
      <c r="E333" s="62">
        <f>I130</f>
        <v>0</v>
      </c>
      <c r="F333" s="62">
        <f>I162</f>
        <v>0</v>
      </c>
      <c r="G333" s="62">
        <f>I194</f>
        <v>0</v>
      </c>
      <c r="H333" s="62">
        <f>I226</f>
        <v>0</v>
      </c>
      <c r="I333" s="62">
        <f>I258</f>
        <v>0</v>
      </c>
      <c r="J333" s="62">
        <f>I258</f>
        <v>0</v>
      </c>
      <c r="K333" s="62">
        <f>I322</f>
        <v>0</v>
      </c>
      <c r="L333" s="62">
        <f>SUM(B333:K333)</f>
        <v>3251.8503357696</v>
      </c>
    </row>
    <row r="334" spans="1:13" x14ac:dyDescent="0.2">
      <c r="B334" s="5"/>
      <c r="C334" s="5"/>
      <c r="D334" s="5"/>
      <c r="E334" s="5"/>
      <c r="F334" s="5"/>
      <c r="G334" s="5"/>
      <c r="L334" s="4"/>
    </row>
    <row r="335" spans="1:13" x14ac:dyDescent="0.2">
      <c r="A335" s="6" t="s">
        <v>56</v>
      </c>
      <c r="L335" s="4"/>
    </row>
    <row r="336" spans="1:13" x14ac:dyDescent="0.2">
      <c r="L336" s="4"/>
    </row>
    <row r="337" spans="1:13" x14ac:dyDescent="0.2">
      <c r="A337" s="4">
        <f>'Baseline Inputs'!$C$8</f>
        <v>2022</v>
      </c>
      <c r="B337" s="35">
        <f>C30</f>
        <v>8</v>
      </c>
      <c r="C337" s="35">
        <f>C62</f>
        <v>0</v>
      </c>
      <c r="D337" s="35">
        <f>C94</f>
        <v>0</v>
      </c>
      <c r="E337" s="35">
        <f>C126</f>
        <v>0</v>
      </c>
      <c r="F337" s="35">
        <f>C158</f>
        <v>0</v>
      </c>
      <c r="G337" s="35">
        <f>C190</f>
        <v>0</v>
      </c>
      <c r="H337" s="35">
        <f>C222</f>
        <v>0</v>
      </c>
      <c r="I337" s="35">
        <f>C254</f>
        <v>0</v>
      </c>
      <c r="J337" s="35">
        <f>C286</f>
        <v>0</v>
      </c>
      <c r="K337" s="35">
        <f>C318</f>
        <v>0</v>
      </c>
      <c r="L337" s="35">
        <f>SUM(B337:K337)</f>
        <v>8</v>
      </c>
    </row>
    <row r="338" spans="1:13" x14ac:dyDescent="0.2">
      <c r="A338" s="4">
        <f>A337+1</f>
        <v>2023</v>
      </c>
      <c r="B338" s="35">
        <f>C31</f>
        <v>10</v>
      </c>
      <c r="C338" s="35">
        <f>C63</f>
        <v>0</v>
      </c>
      <c r="D338" s="35">
        <f>C95</f>
        <v>0</v>
      </c>
      <c r="E338" s="35">
        <f>C127</f>
        <v>0</v>
      </c>
      <c r="F338" s="35">
        <f>C159</f>
        <v>0</v>
      </c>
      <c r="G338" s="35">
        <f>C191</f>
        <v>0</v>
      </c>
      <c r="H338" s="35">
        <f>C223</f>
        <v>0</v>
      </c>
      <c r="I338" s="35">
        <f>C255</f>
        <v>0</v>
      </c>
      <c r="J338" s="35">
        <f>C287</f>
        <v>0</v>
      </c>
      <c r="K338" s="35">
        <f>C319</f>
        <v>0</v>
      </c>
      <c r="L338" s="35">
        <f>SUM(B338:K338)</f>
        <v>10</v>
      </c>
    </row>
    <row r="339" spans="1:13" x14ac:dyDescent="0.2">
      <c r="A339" s="4">
        <f>A338+1</f>
        <v>2024</v>
      </c>
      <c r="B339" s="35">
        <f>C32</f>
        <v>10</v>
      </c>
      <c r="C339" s="35">
        <f>C64</f>
        <v>0</v>
      </c>
      <c r="D339" s="35">
        <f>C96</f>
        <v>0</v>
      </c>
      <c r="E339" s="35">
        <f>C128</f>
        <v>0</v>
      </c>
      <c r="F339" s="35">
        <f>C160</f>
        <v>0</v>
      </c>
      <c r="G339" s="35">
        <f>C192</f>
        <v>0</v>
      </c>
      <c r="H339" s="35">
        <f>C224</f>
        <v>0</v>
      </c>
      <c r="I339" s="35">
        <f>C256</f>
        <v>0</v>
      </c>
      <c r="J339" s="35">
        <f>C288</f>
        <v>0</v>
      </c>
      <c r="K339" s="35">
        <f>C320</f>
        <v>0</v>
      </c>
      <c r="L339" s="35">
        <f>SUM(B339:K339)</f>
        <v>10</v>
      </c>
    </row>
    <row r="340" spans="1:13" x14ac:dyDescent="0.2">
      <c r="A340" s="4">
        <f>A339+1</f>
        <v>2025</v>
      </c>
      <c r="B340" s="35">
        <f>C33</f>
        <v>10</v>
      </c>
      <c r="C340" s="35">
        <f>C65</f>
        <v>0</v>
      </c>
      <c r="D340" s="35">
        <f>C97</f>
        <v>0</v>
      </c>
      <c r="E340" s="35">
        <f>C129</f>
        <v>0</v>
      </c>
      <c r="F340" s="35">
        <f>C161</f>
        <v>0</v>
      </c>
      <c r="G340" s="35">
        <f>C193</f>
        <v>0</v>
      </c>
      <c r="H340" s="35">
        <f>C225</f>
        <v>0</v>
      </c>
      <c r="I340" s="35">
        <f>C257</f>
        <v>0</v>
      </c>
      <c r="J340" s="35">
        <f>C289</f>
        <v>0</v>
      </c>
      <c r="K340" s="35">
        <f>C321</f>
        <v>0</v>
      </c>
      <c r="L340" s="35">
        <f>SUM(B340:K340)</f>
        <v>10</v>
      </c>
    </row>
    <row r="341" spans="1:13" x14ac:dyDescent="0.2">
      <c r="A341" s="4">
        <f>A340+1</f>
        <v>2026</v>
      </c>
      <c r="B341" s="35">
        <f>C34</f>
        <v>10</v>
      </c>
      <c r="C341" s="35">
        <f>C66</f>
        <v>0</v>
      </c>
      <c r="D341" s="35">
        <f>C98</f>
        <v>0</v>
      </c>
      <c r="E341" s="35">
        <f>C130</f>
        <v>0</v>
      </c>
      <c r="F341" s="35">
        <f>C162</f>
        <v>0</v>
      </c>
      <c r="G341" s="35">
        <f>C194</f>
        <v>0</v>
      </c>
      <c r="H341" s="35">
        <f>C226</f>
        <v>0</v>
      </c>
      <c r="I341" s="35">
        <f>C258</f>
        <v>0</v>
      </c>
      <c r="J341" s="35">
        <f>C290</f>
        <v>0</v>
      </c>
      <c r="K341" s="35">
        <f>C322</f>
        <v>0</v>
      </c>
      <c r="L341" s="35">
        <f>SUM(B341:K341)</f>
        <v>10</v>
      </c>
    </row>
    <row r="342" spans="1:13" x14ac:dyDescent="0.2">
      <c r="L342" s="4"/>
    </row>
    <row r="343" spans="1:13" x14ac:dyDescent="0.2">
      <c r="A343" s="6" t="s">
        <v>117</v>
      </c>
      <c r="L343" s="4"/>
    </row>
    <row r="344" spans="1:13" x14ac:dyDescent="0.2">
      <c r="L344" s="4"/>
    </row>
    <row r="345" spans="1:13" x14ac:dyDescent="0.2">
      <c r="A345" s="4">
        <f>'Baseline Inputs'!$C$8</f>
        <v>2022</v>
      </c>
      <c r="B345" s="35">
        <f>D30</f>
        <v>4964.0013211182168</v>
      </c>
      <c r="C345" s="35">
        <f>D62</f>
        <v>0</v>
      </c>
      <c r="D345" s="35">
        <f>D94</f>
        <v>0</v>
      </c>
      <c r="E345" s="35">
        <f>D126</f>
        <v>0</v>
      </c>
      <c r="F345" s="35">
        <f>D158</f>
        <v>0</v>
      </c>
      <c r="G345" s="35">
        <f>D190</f>
        <v>0</v>
      </c>
      <c r="H345" s="35">
        <f>D222</f>
        <v>0</v>
      </c>
      <c r="I345" s="35">
        <f>D254</f>
        <v>0</v>
      </c>
      <c r="J345" s="35">
        <f>D286</f>
        <v>0</v>
      </c>
      <c r="K345" s="35">
        <f>D318</f>
        <v>0</v>
      </c>
      <c r="L345" s="35">
        <f>SUM(B345:K345)</f>
        <v>4964.0013211182168</v>
      </c>
      <c r="M345" s="26">
        <f>+L345*12</f>
        <v>59568.015853418605</v>
      </c>
    </row>
    <row r="346" spans="1:13" x14ac:dyDescent="0.2">
      <c r="A346" s="4">
        <f>A345+1</f>
        <v>2023</v>
      </c>
      <c r="B346" s="35">
        <f>D31</f>
        <v>6205.0016513977707</v>
      </c>
      <c r="C346" s="35">
        <f>D63</f>
        <v>0</v>
      </c>
      <c r="D346" s="35">
        <f>D95</f>
        <v>0</v>
      </c>
      <c r="E346" s="35">
        <f>D127</f>
        <v>0</v>
      </c>
      <c r="F346" s="35">
        <f>D159</f>
        <v>0</v>
      </c>
      <c r="G346" s="35">
        <f>D191</f>
        <v>0</v>
      </c>
      <c r="H346" s="35">
        <f>D223</f>
        <v>0</v>
      </c>
      <c r="I346" s="35">
        <f>D255</f>
        <v>0</v>
      </c>
      <c r="J346" s="35">
        <f>D287</f>
        <v>0</v>
      </c>
      <c r="K346" s="35">
        <f>D319</f>
        <v>0</v>
      </c>
      <c r="L346" s="35">
        <f>SUM(B346:K346)</f>
        <v>6205.0016513977707</v>
      </c>
      <c r="M346" s="26">
        <f>+L346*12</f>
        <v>74460.019816773245</v>
      </c>
    </row>
    <row r="347" spans="1:13" x14ac:dyDescent="0.2">
      <c r="A347" s="4">
        <f>A346+1</f>
        <v>2024</v>
      </c>
      <c r="B347" s="35">
        <f>D32</f>
        <v>6205.0016513977707</v>
      </c>
      <c r="C347" s="35">
        <f>D64</f>
        <v>0</v>
      </c>
      <c r="D347" s="35">
        <f>D96</f>
        <v>0</v>
      </c>
      <c r="E347" s="35">
        <f>D128</f>
        <v>0</v>
      </c>
      <c r="F347" s="35">
        <f>D160</f>
        <v>0</v>
      </c>
      <c r="G347" s="35">
        <f>D192</f>
        <v>0</v>
      </c>
      <c r="H347" s="35">
        <f>D224</f>
        <v>0</v>
      </c>
      <c r="I347" s="35">
        <f>D256</f>
        <v>0</v>
      </c>
      <c r="J347" s="35">
        <f>D288</f>
        <v>0</v>
      </c>
      <c r="K347" s="35">
        <f>D320</f>
        <v>0</v>
      </c>
      <c r="L347" s="35">
        <f>SUM(B347:K347)</f>
        <v>6205.0016513977707</v>
      </c>
      <c r="M347" s="26">
        <f>+L347*12</f>
        <v>74460.019816773245</v>
      </c>
    </row>
    <row r="348" spans="1:13" x14ac:dyDescent="0.2">
      <c r="A348" s="4">
        <f>A347+1</f>
        <v>2025</v>
      </c>
      <c r="B348" s="35">
        <f>D33</f>
        <v>6205.0016513977707</v>
      </c>
      <c r="C348" s="35">
        <f>D65</f>
        <v>0</v>
      </c>
      <c r="D348" s="35">
        <f>D97</f>
        <v>0</v>
      </c>
      <c r="E348" s="35">
        <f>D129</f>
        <v>0</v>
      </c>
      <c r="F348" s="35">
        <f>D161</f>
        <v>0</v>
      </c>
      <c r="G348" s="35">
        <f>D193</f>
        <v>0</v>
      </c>
      <c r="H348" s="35">
        <f>D225</f>
        <v>0</v>
      </c>
      <c r="I348" s="35">
        <f>D257</f>
        <v>0</v>
      </c>
      <c r="J348" s="35">
        <f>D289</f>
        <v>0</v>
      </c>
      <c r="K348" s="35">
        <f>D321</f>
        <v>0</v>
      </c>
      <c r="L348" s="35">
        <f>SUM(B348:K348)</f>
        <v>6205.0016513977707</v>
      </c>
      <c r="M348" s="26">
        <f>+L348*12</f>
        <v>74460.019816773245</v>
      </c>
    </row>
    <row r="349" spans="1:13" x14ac:dyDescent="0.2">
      <c r="A349" s="4">
        <f>A348+1</f>
        <v>2026</v>
      </c>
      <c r="B349" s="35">
        <f>D34</f>
        <v>6205.0016513977707</v>
      </c>
      <c r="C349" s="35">
        <f>D66</f>
        <v>0</v>
      </c>
      <c r="D349" s="35">
        <f>D98</f>
        <v>0</v>
      </c>
      <c r="E349" s="35">
        <f>D130</f>
        <v>0</v>
      </c>
      <c r="F349" s="35">
        <f>D162</f>
        <v>0</v>
      </c>
      <c r="G349" s="35">
        <f>D194</f>
        <v>0</v>
      </c>
      <c r="H349" s="35">
        <f>D226</f>
        <v>0</v>
      </c>
      <c r="I349" s="35">
        <f>D258</f>
        <v>0</v>
      </c>
      <c r="J349" s="35">
        <f>D290</f>
        <v>0</v>
      </c>
      <c r="K349" s="35">
        <f>D322</f>
        <v>0</v>
      </c>
      <c r="L349" s="35">
        <f>SUM(B349:K349)</f>
        <v>6205.0016513977707</v>
      </c>
      <c r="M349" s="26">
        <f>+L349*12</f>
        <v>74460.019816773245</v>
      </c>
    </row>
    <row r="350" spans="1:13" x14ac:dyDescent="0.2">
      <c r="L350" s="4"/>
    </row>
    <row r="351" spans="1:13" x14ac:dyDescent="0.2">
      <c r="A351" s="6" t="s">
        <v>118</v>
      </c>
      <c r="L351" s="4"/>
    </row>
    <row r="352" spans="1:13" x14ac:dyDescent="0.2">
      <c r="L352" s="4"/>
    </row>
    <row r="353" spans="1:13" x14ac:dyDescent="0.2">
      <c r="A353" s="4">
        <f>'Baseline Inputs'!$C$8</f>
        <v>2022</v>
      </c>
      <c r="B353" s="35">
        <f>E30</f>
        <v>0</v>
      </c>
      <c r="C353" s="35">
        <f>E62</f>
        <v>0</v>
      </c>
      <c r="D353" s="35">
        <f>E94</f>
        <v>0</v>
      </c>
      <c r="E353" s="35">
        <f>E126</f>
        <v>0</v>
      </c>
      <c r="F353" s="35">
        <f>E158</f>
        <v>0</v>
      </c>
      <c r="G353" s="35">
        <f>E190</f>
        <v>0</v>
      </c>
      <c r="H353" s="35">
        <f>E222</f>
        <v>0</v>
      </c>
      <c r="I353" s="35">
        <f>E254</f>
        <v>0</v>
      </c>
      <c r="J353" s="35">
        <f>E286</f>
        <v>0</v>
      </c>
      <c r="K353" s="35">
        <f>E318</f>
        <v>0</v>
      </c>
      <c r="L353" s="35">
        <f>SUM(B353:K353)</f>
        <v>0</v>
      </c>
      <c r="M353" s="26">
        <f>+L353*12</f>
        <v>0</v>
      </c>
    </row>
    <row r="354" spans="1:13" x14ac:dyDescent="0.2">
      <c r="A354" s="4">
        <f>A353+1</f>
        <v>2023</v>
      </c>
      <c r="B354" s="35">
        <f>E31</f>
        <v>0</v>
      </c>
      <c r="C354" s="35">
        <f>E63</f>
        <v>0</v>
      </c>
      <c r="D354" s="35">
        <f>E95</f>
        <v>0</v>
      </c>
      <c r="E354" s="35">
        <f>E127</f>
        <v>0</v>
      </c>
      <c r="F354" s="35">
        <f>E159</f>
        <v>0</v>
      </c>
      <c r="G354" s="35">
        <f>E191</f>
        <v>0</v>
      </c>
      <c r="H354" s="35">
        <f>E223</f>
        <v>0</v>
      </c>
      <c r="I354" s="35">
        <f>E255</f>
        <v>0</v>
      </c>
      <c r="J354" s="35">
        <f>E287</f>
        <v>0</v>
      </c>
      <c r="K354" s="35">
        <f>E319</f>
        <v>0</v>
      </c>
      <c r="L354" s="35">
        <f>SUM(B354:K354)</f>
        <v>0</v>
      </c>
      <c r="M354" s="26">
        <f>+L354*12</f>
        <v>0</v>
      </c>
    </row>
    <row r="355" spans="1:13" x14ac:dyDescent="0.2">
      <c r="A355" s="4">
        <f>A354+1</f>
        <v>2024</v>
      </c>
      <c r="B355" s="35">
        <f>E32</f>
        <v>0</v>
      </c>
      <c r="C355" s="35">
        <f>E64</f>
        <v>0</v>
      </c>
      <c r="D355" s="35">
        <f>E96</f>
        <v>0</v>
      </c>
      <c r="E355" s="35">
        <f>E128</f>
        <v>0</v>
      </c>
      <c r="F355" s="35">
        <f>E160</f>
        <v>0</v>
      </c>
      <c r="G355" s="35">
        <f>E192</f>
        <v>0</v>
      </c>
      <c r="H355" s="35">
        <f>E224</f>
        <v>0</v>
      </c>
      <c r="I355" s="35">
        <f>E256</f>
        <v>0</v>
      </c>
      <c r="J355" s="35">
        <f>E288</f>
        <v>0</v>
      </c>
      <c r="K355" s="35">
        <f>E320</f>
        <v>0</v>
      </c>
      <c r="L355" s="35">
        <f>SUM(B355:K355)</f>
        <v>0</v>
      </c>
      <c r="M355" s="26">
        <f>+L355*12</f>
        <v>0</v>
      </c>
    </row>
    <row r="356" spans="1:13" x14ac:dyDescent="0.2">
      <c r="A356" s="4">
        <f>A355+1</f>
        <v>2025</v>
      </c>
      <c r="B356" s="35">
        <f>E33</f>
        <v>0</v>
      </c>
      <c r="C356" s="35">
        <f>E65</f>
        <v>0</v>
      </c>
      <c r="D356" s="35">
        <f>E97</f>
        <v>0</v>
      </c>
      <c r="E356" s="35">
        <f>E129</f>
        <v>0</v>
      </c>
      <c r="F356" s="35">
        <f>E161</f>
        <v>0</v>
      </c>
      <c r="G356" s="35">
        <f>E193</f>
        <v>0</v>
      </c>
      <c r="H356" s="35">
        <f>E225</f>
        <v>0</v>
      </c>
      <c r="I356" s="35">
        <f>E257</f>
        <v>0</v>
      </c>
      <c r="J356" s="35">
        <f>E289</f>
        <v>0</v>
      </c>
      <c r="K356" s="35">
        <f>E321</f>
        <v>0</v>
      </c>
      <c r="L356" s="35">
        <f>SUM(B356:K356)</f>
        <v>0</v>
      </c>
      <c r="M356" s="26">
        <f>+L356*12</f>
        <v>0</v>
      </c>
    </row>
    <row r="357" spans="1:13" x14ac:dyDescent="0.2">
      <c r="A357" s="4">
        <f>A356+1</f>
        <v>2026</v>
      </c>
      <c r="B357" s="35">
        <f>E34</f>
        <v>0</v>
      </c>
      <c r="C357" s="35">
        <f>E66</f>
        <v>0</v>
      </c>
      <c r="D357" s="35">
        <f>E98</f>
        <v>0</v>
      </c>
      <c r="E357" s="35">
        <f>E130</f>
        <v>0</v>
      </c>
      <c r="F357" s="35">
        <f>E162</f>
        <v>0</v>
      </c>
      <c r="G357" s="35">
        <f>E194</f>
        <v>0</v>
      </c>
      <c r="H357" s="35">
        <f>E226</f>
        <v>0</v>
      </c>
      <c r="I357" s="35">
        <f>E258</f>
        <v>0</v>
      </c>
      <c r="J357" s="35">
        <f>E290</f>
        <v>0</v>
      </c>
      <c r="K357" s="35">
        <f>E322</f>
        <v>0</v>
      </c>
      <c r="L357" s="35">
        <f>SUM(B357:K357)</f>
        <v>0</v>
      </c>
      <c r="M357" s="26">
        <f>+L357*12</f>
        <v>0</v>
      </c>
    </row>
  </sheetData>
  <customSheetViews>
    <customSheetView guid="{183997E1-9CCE-11D3-BD95-0000861AD9C2}" fitToPage="1" showRuler="0">
      <selection activeCell="G25" sqref="G25"/>
      <pageMargins left="0.75" right="0.75" top="1" bottom="1" header="0.5" footer="0.5"/>
      <headerFooter alignWithMargins="0"/>
    </customSheetView>
  </customSheetViews>
  <mergeCells count="30">
    <mergeCell ref="B209:C209"/>
    <mergeCell ref="C232:D232"/>
    <mergeCell ref="B176:C176"/>
    <mergeCell ref="B177:C177"/>
    <mergeCell ref="C200:D200"/>
    <mergeCell ref="B208:C208"/>
    <mergeCell ref="B113:C113"/>
    <mergeCell ref="B144:C144"/>
    <mergeCell ref="C136:D136"/>
    <mergeCell ref="B145:C145"/>
    <mergeCell ref="C168:D168"/>
    <mergeCell ref="B49:C49"/>
    <mergeCell ref="B80:C80"/>
    <mergeCell ref="C72:D72"/>
    <mergeCell ref="B81:C81"/>
    <mergeCell ref="B112:C112"/>
    <mergeCell ref="C104:D104"/>
    <mergeCell ref="B16:C16"/>
    <mergeCell ref="C8:D8"/>
    <mergeCell ref="B17:C17"/>
    <mergeCell ref="B48:C48"/>
    <mergeCell ref="C40:D40"/>
    <mergeCell ref="B273:C273"/>
    <mergeCell ref="C296:D296"/>
    <mergeCell ref="B304:C304"/>
    <mergeCell ref="B305:C305"/>
    <mergeCell ref="B240:C240"/>
    <mergeCell ref="B241:C241"/>
    <mergeCell ref="C264:D264"/>
    <mergeCell ref="B272:C272"/>
  </mergeCells>
  <phoneticPr fontId="0" type="noConversion"/>
  <pageMargins left="0.75" right="0.75" top="1" bottom="1"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1"/>
  <sheetViews>
    <sheetView workbookViewId="0">
      <selection activeCell="G37" sqref="G37"/>
    </sheetView>
  </sheetViews>
  <sheetFormatPr defaultRowHeight="12.75" x14ac:dyDescent="0.2"/>
  <cols>
    <col min="2" max="5" width="15.7109375" style="4" customWidth="1"/>
    <col min="7" max="7" width="10" customWidth="1"/>
    <col min="8" max="8" width="12.28515625" customWidth="1"/>
    <col min="11" max="11" width="13.42578125" customWidth="1"/>
  </cols>
  <sheetData>
    <row r="1" spans="1:12" ht="18" x14ac:dyDescent="0.25">
      <c r="A1" s="81" t="str">
        <f>'Table of Contents'!A1</f>
        <v>Expansion - Economic Evaluation Model 2022</v>
      </c>
    </row>
    <row r="3" spans="1:12" x14ac:dyDescent="0.2">
      <c r="A3" s="11" t="s">
        <v>154</v>
      </c>
    </row>
    <row r="4" spans="1:12" x14ac:dyDescent="0.2">
      <c r="B4" s="162" t="str">
        <f>'Revenue '!B326</f>
        <v>Residential</v>
      </c>
    </row>
    <row r="5" spans="1:12" ht="38.25" x14ac:dyDescent="0.2">
      <c r="A5" s="4" t="str">
        <f>'NPV Cash Flow Anal'!A5</f>
        <v>Year</v>
      </c>
      <c r="B5" s="51" t="s">
        <v>234</v>
      </c>
      <c r="C5" s="75" t="s">
        <v>123</v>
      </c>
      <c r="D5" s="51" t="s">
        <v>235</v>
      </c>
      <c r="E5" s="51" t="s">
        <v>236</v>
      </c>
      <c r="F5" s="75"/>
      <c r="G5" s="75"/>
      <c r="H5" s="75"/>
      <c r="I5" s="75"/>
      <c r="J5" s="75"/>
      <c r="K5" s="75"/>
      <c r="L5" s="75"/>
    </row>
    <row r="6" spans="1:12" x14ac:dyDescent="0.2">
      <c r="A6" s="4"/>
      <c r="F6" s="4"/>
      <c r="G6" s="4"/>
      <c r="H6" s="4"/>
      <c r="I6" s="4"/>
      <c r="J6" s="4"/>
      <c r="K6" s="4"/>
    </row>
    <row r="7" spans="1:12" x14ac:dyDescent="0.2">
      <c r="A7" s="4">
        <f>'Baseline Inputs'!C8</f>
        <v>2022</v>
      </c>
      <c r="B7" s="62">
        <f>'Baseline Inputs'!B238</f>
        <v>253.88062209845071</v>
      </c>
      <c r="C7" s="35">
        <f>'Revenue '!B337</f>
        <v>8</v>
      </c>
      <c r="D7" s="35">
        <f>C7</f>
        <v>8</v>
      </c>
      <c r="E7" s="62">
        <f>B7*D7</f>
        <v>2031.0449767876057</v>
      </c>
      <c r="F7" s="62"/>
      <c r="G7" s="35"/>
      <c r="H7" s="5"/>
      <c r="I7" s="62"/>
      <c r="J7" s="35"/>
      <c r="K7" s="5"/>
      <c r="L7" s="5"/>
    </row>
    <row r="8" spans="1:12" x14ac:dyDescent="0.2">
      <c r="A8" s="4">
        <f>'NPV Cash Flow Anal'!A8</f>
        <v>2023</v>
      </c>
      <c r="B8" s="21">
        <f>IF('Baseline Inputs'!$C$238 = 0,B7, 'Baseline Inputs'!$C$238)</f>
        <v>253.88062209845071</v>
      </c>
      <c r="C8" s="35">
        <f>'Revenue '!B338-'Revenue '!B337</f>
        <v>2</v>
      </c>
      <c r="D8" s="35">
        <f>C8+D7</f>
        <v>10</v>
      </c>
      <c r="E8" s="62">
        <f>B8*D8</f>
        <v>2538.806220984507</v>
      </c>
      <c r="F8" s="21"/>
      <c r="G8" s="35"/>
      <c r="H8" s="5"/>
      <c r="I8" s="21"/>
      <c r="J8" s="35"/>
      <c r="K8" s="5"/>
      <c r="L8" s="5"/>
    </row>
    <row r="9" spans="1:12" x14ac:dyDescent="0.2">
      <c r="A9" s="4">
        <f>'NPV Cash Flow Anal'!A9</f>
        <v>2024</v>
      </c>
      <c r="B9" s="21">
        <f>IF('Baseline Inputs'!$D$238 = 0, B8,'Baseline Inputs'!$D$238)</f>
        <v>253.88062209845071</v>
      </c>
      <c r="C9" s="35">
        <f>'Revenue '!B339-'Revenue '!B338</f>
        <v>0</v>
      </c>
      <c r="D9" s="35">
        <f>C9+D8</f>
        <v>10</v>
      </c>
      <c r="E9" s="62">
        <f>B9*D9</f>
        <v>2538.806220984507</v>
      </c>
      <c r="F9" s="21"/>
      <c r="G9" s="35"/>
      <c r="H9" s="5"/>
      <c r="I9" s="21"/>
      <c r="J9" s="35"/>
      <c r="K9" s="5"/>
      <c r="L9" s="5"/>
    </row>
    <row r="10" spans="1:12" x14ac:dyDescent="0.2">
      <c r="A10" s="4">
        <f>'NPV Cash Flow Anal'!A10</f>
        <v>2025</v>
      </c>
      <c r="B10" s="21">
        <f>IF('Baseline Inputs'!$E$238 = 0, B9,'Baseline Inputs'!$E$238)</f>
        <v>253.88062209845071</v>
      </c>
      <c r="C10" s="35">
        <f>'Revenue '!B340-'Revenue '!B339</f>
        <v>0</v>
      </c>
      <c r="D10" s="35">
        <f>C10+D9</f>
        <v>10</v>
      </c>
      <c r="E10" s="62">
        <f>B10*D10</f>
        <v>2538.806220984507</v>
      </c>
      <c r="F10" s="21"/>
      <c r="G10" s="35"/>
      <c r="H10" s="5"/>
      <c r="I10" s="21"/>
      <c r="J10" s="35"/>
      <c r="K10" s="5"/>
      <c r="L10" s="5"/>
    </row>
    <row r="11" spans="1:12" x14ac:dyDescent="0.2">
      <c r="A11" s="4">
        <f>'NPV Cash Flow Anal'!A11</f>
        <v>2026</v>
      </c>
      <c r="B11" s="21">
        <f>IF('Baseline Inputs'!$F$238 = 0, B10,'Baseline Inputs'!$F$238)</f>
        <v>253.88062209845071</v>
      </c>
      <c r="C11" s="35">
        <f>'Revenue '!B341-'Revenue '!B340</f>
        <v>0</v>
      </c>
      <c r="D11" s="35">
        <f>C11+D10</f>
        <v>10</v>
      </c>
      <c r="E11" s="62">
        <f>B11*D11</f>
        <v>2538.806220984507</v>
      </c>
      <c r="F11" s="21"/>
      <c r="G11" s="35"/>
      <c r="H11" s="5"/>
      <c r="I11" s="21"/>
      <c r="J11" s="35"/>
      <c r="K11" s="5"/>
      <c r="L11" s="5"/>
    </row>
    <row r="12" spans="1:12" x14ac:dyDescent="0.2">
      <c r="A12" s="4"/>
      <c r="B12" s="62"/>
    </row>
    <row r="13" spans="1:12" x14ac:dyDescent="0.2">
      <c r="B13" s="162" t="str">
        <f>'Revenue '!C326</f>
        <v>General Service &lt; 50</v>
      </c>
    </row>
    <row r="14" spans="1:12" ht="38.25" x14ac:dyDescent="0.2">
      <c r="A14" s="4" t="str">
        <f>A5</f>
        <v>Year</v>
      </c>
      <c r="B14" s="51" t="s">
        <v>234</v>
      </c>
      <c r="C14" s="75" t="s">
        <v>123</v>
      </c>
      <c r="D14" s="51" t="s">
        <v>235</v>
      </c>
      <c r="E14" s="51" t="s">
        <v>236</v>
      </c>
    </row>
    <row r="15" spans="1:12" x14ac:dyDescent="0.2">
      <c r="A15" s="4"/>
    </row>
    <row r="16" spans="1:12" x14ac:dyDescent="0.2">
      <c r="A16" s="4">
        <f>A7</f>
        <v>2022</v>
      </c>
      <c r="B16" s="62">
        <f>'Baseline Inputs'!B239</f>
        <v>470.42519712310803</v>
      </c>
      <c r="C16" s="35">
        <f>'Revenue '!C337</f>
        <v>0</v>
      </c>
      <c r="D16" s="35">
        <f>C16</f>
        <v>0</v>
      </c>
      <c r="E16" s="62">
        <f>B16*D16</f>
        <v>0</v>
      </c>
    </row>
    <row r="17" spans="1:5" x14ac:dyDescent="0.2">
      <c r="A17" s="4">
        <f>A8</f>
        <v>2023</v>
      </c>
      <c r="B17" s="21">
        <f>IF('Baseline Inputs'!$C$239 = 0,B16, 'Baseline Inputs'!$C$239)</f>
        <v>470.42519712310803</v>
      </c>
      <c r="C17" s="35">
        <f>'Revenue '!C338-'Revenue '!C337</f>
        <v>0</v>
      </c>
      <c r="D17" s="35">
        <f>C17+D16</f>
        <v>0</v>
      </c>
      <c r="E17" s="62">
        <f>B17*D17</f>
        <v>0</v>
      </c>
    </row>
    <row r="18" spans="1:5" x14ac:dyDescent="0.2">
      <c r="A18" s="4">
        <f>A9</f>
        <v>2024</v>
      </c>
      <c r="B18" s="21">
        <f>IF('Baseline Inputs'!$D$239 = 0, B17,'Baseline Inputs'!$D$239)</f>
        <v>470.42519712310803</v>
      </c>
      <c r="C18" s="35">
        <f>'Revenue '!C339-'Revenue '!C338</f>
        <v>0</v>
      </c>
      <c r="D18" s="35">
        <f>C18+D17</f>
        <v>0</v>
      </c>
      <c r="E18" s="62">
        <f>B18*D18</f>
        <v>0</v>
      </c>
    </row>
    <row r="19" spans="1:5" x14ac:dyDescent="0.2">
      <c r="A19" s="4">
        <f>A10</f>
        <v>2025</v>
      </c>
      <c r="B19" s="21">
        <f>IF('Baseline Inputs'!$E$239 = 0, B18,'Baseline Inputs'!$E$239)</f>
        <v>470.42519712310803</v>
      </c>
      <c r="C19" s="35">
        <f>'Revenue '!C340-'Revenue '!C339</f>
        <v>0</v>
      </c>
      <c r="D19" s="35">
        <f>C19+D18</f>
        <v>0</v>
      </c>
      <c r="E19" s="62">
        <f>B19*D19</f>
        <v>0</v>
      </c>
    </row>
    <row r="20" spans="1:5" x14ac:dyDescent="0.2">
      <c r="A20" s="4">
        <f>A11</f>
        <v>2026</v>
      </c>
      <c r="B20" s="21">
        <f>IF('Baseline Inputs'!$F$239 = 0, B19,'Baseline Inputs'!$F$239)</f>
        <v>470.42519712310803</v>
      </c>
      <c r="C20" s="35">
        <f>'Revenue '!C341-'Revenue '!C340</f>
        <v>0</v>
      </c>
      <c r="D20" s="35">
        <f>C20+D19</f>
        <v>0</v>
      </c>
      <c r="E20" s="62">
        <f>B20*D20</f>
        <v>0</v>
      </c>
    </row>
    <row r="21" spans="1:5" x14ac:dyDescent="0.2">
      <c r="A21" s="4"/>
      <c r="B21" s="62"/>
    </row>
    <row r="22" spans="1:5" x14ac:dyDescent="0.2">
      <c r="B22" s="162" t="str">
        <f>'Revenue '!D326</f>
        <v>General Service &gt; 50</v>
      </c>
    </row>
    <row r="23" spans="1:5" ht="38.25" x14ac:dyDescent="0.2">
      <c r="A23" s="4" t="str">
        <f>A14</f>
        <v>Year</v>
      </c>
      <c r="B23" s="51" t="s">
        <v>234</v>
      </c>
      <c r="C23" s="75" t="s">
        <v>123</v>
      </c>
      <c r="D23" s="51" t="s">
        <v>235</v>
      </c>
      <c r="E23" s="51" t="s">
        <v>236</v>
      </c>
    </row>
    <row r="24" spans="1:5" x14ac:dyDescent="0.2">
      <c r="A24" s="4"/>
    </row>
    <row r="25" spans="1:5" x14ac:dyDescent="0.2">
      <c r="A25" s="4">
        <f>A16</f>
        <v>2022</v>
      </c>
      <c r="B25" s="62">
        <f>'Baseline Inputs'!B240</f>
        <v>7187.0800126283693</v>
      </c>
      <c r="C25" s="35">
        <f>'Revenue '!D337</f>
        <v>0</v>
      </c>
      <c r="D25" s="35">
        <f>C25</f>
        <v>0</v>
      </c>
      <c r="E25" s="62">
        <f>B25*D25</f>
        <v>0</v>
      </c>
    </row>
    <row r="26" spans="1:5" x14ac:dyDescent="0.2">
      <c r="A26" s="4">
        <f>A17</f>
        <v>2023</v>
      </c>
      <c r="B26" s="21">
        <f>IF('Baseline Inputs'!$C$240 = 0,B25, 'Baseline Inputs'!$C$240)</f>
        <v>7187.0800126283693</v>
      </c>
      <c r="C26" s="35">
        <f>'Revenue '!D338-'Revenue '!D337</f>
        <v>0</v>
      </c>
      <c r="D26" s="35">
        <f>C26+D25</f>
        <v>0</v>
      </c>
      <c r="E26" s="62">
        <f>B26*D26</f>
        <v>0</v>
      </c>
    </row>
    <row r="27" spans="1:5" x14ac:dyDescent="0.2">
      <c r="A27" s="4">
        <f>A18</f>
        <v>2024</v>
      </c>
      <c r="B27" s="21">
        <f>IF('Baseline Inputs'!$D$240 = 0, B26,'Baseline Inputs'!$D$240)</f>
        <v>7187.0800126283693</v>
      </c>
      <c r="C27" s="35">
        <f>'Revenue '!D339-'Revenue '!D338</f>
        <v>0</v>
      </c>
      <c r="D27" s="35">
        <f>C27+D26</f>
        <v>0</v>
      </c>
      <c r="E27" s="62">
        <f>B27*D27</f>
        <v>0</v>
      </c>
    </row>
    <row r="28" spans="1:5" x14ac:dyDescent="0.2">
      <c r="A28" s="4">
        <f>A19</f>
        <v>2025</v>
      </c>
      <c r="B28" s="21">
        <f>IF('Baseline Inputs'!$E$240 = 0, B27,'Baseline Inputs'!$E$240)</f>
        <v>7187.0800126283693</v>
      </c>
      <c r="C28" s="35">
        <f>'Revenue '!D340-'Revenue '!D339</f>
        <v>0</v>
      </c>
      <c r="D28" s="35">
        <f>C28+D27</f>
        <v>0</v>
      </c>
      <c r="E28" s="62">
        <f>B28*D28</f>
        <v>0</v>
      </c>
    </row>
    <row r="29" spans="1:5" x14ac:dyDescent="0.2">
      <c r="A29" s="4">
        <f>A20</f>
        <v>2026</v>
      </c>
      <c r="B29" s="21">
        <f>IF('Baseline Inputs'!$F$240 = 0, B28,'Baseline Inputs'!$F$240)</f>
        <v>7187.0800126283693</v>
      </c>
      <c r="C29" s="35">
        <f>'Revenue '!D341-'Revenue '!D340</f>
        <v>0</v>
      </c>
      <c r="D29" s="35">
        <f>C29+D28</f>
        <v>0</v>
      </c>
      <c r="E29" s="62">
        <f>B29*D29</f>
        <v>0</v>
      </c>
    </row>
    <row r="30" spans="1:5" x14ac:dyDescent="0.2">
      <c r="A30" s="4"/>
      <c r="B30" s="62"/>
    </row>
    <row r="31" spans="1:5" x14ac:dyDescent="0.2">
      <c r="B31" s="162" t="str">
        <f>'Revenue '!E326</f>
        <v xml:space="preserve">Unmetered Scattered Load </v>
      </c>
    </row>
    <row r="32" spans="1:5" ht="38.25" x14ac:dyDescent="0.2">
      <c r="A32" s="4" t="str">
        <f>A23</f>
        <v>Year</v>
      </c>
      <c r="B32" s="51" t="s">
        <v>234</v>
      </c>
      <c r="C32" s="75" t="s">
        <v>123</v>
      </c>
      <c r="D32" s="51" t="s">
        <v>235</v>
      </c>
      <c r="E32" s="51" t="s">
        <v>236</v>
      </c>
    </row>
    <row r="33" spans="1:5" x14ac:dyDescent="0.2">
      <c r="A33" s="4"/>
    </row>
    <row r="34" spans="1:5" x14ac:dyDescent="0.2">
      <c r="A34" s="4">
        <f>A25</f>
        <v>2022</v>
      </c>
      <c r="B34" s="62">
        <f>'Baseline Inputs'!B241</f>
        <v>86.735680507961163</v>
      </c>
      <c r="C34" s="35">
        <f>'Revenue '!E337</f>
        <v>0</v>
      </c>
      <c r="D34" s="35">
        <f>C34</f>
        <v>0</v>
      </c>
      <c r="E34" s="62">
        <f>B34*D34</f>
        <v>0</v>
      </c>
    </row>
    <row r="35" spans="1:5" x14ac:dyDescent="0.2">
      <c r="A35" s="4">
        <f>A26</f>
        <v>2023</v>
      </c>
      <c r="B35" s="21">
        <f>IF('Baseline Inputs'!$C$241 = 0,B34, 'Baseline Inputs'!$C$241)</f>
        <v>86.735680507961163</v>
      </c>
      <c r="C35" s="35">
        <f>'Revenue '!E338-'Revenue '!E337</f>
        <v>0</v>
      </c>
      <c r="D35" s="35">
        <f>C35+D34</f>
        <v>0</v>
      </c>
      <c r="E35" s="62">
        <f>B35*D35</f>
        <v>0</v>
      </c>
    </row>
    <row r="36" spans="1:5" x14ac:dyDescent="0.2">
      <c r="A36" s="4">
        <f>A27</f>
        <v>2024</v>
      </c>
      <c r="B36" s="21">
        <f>IF('Baseline Inputs'!$D$241 = 0, B35,'Baseline Inputs'!$D$241)</f>
        <v>86.735680507961163</v>
      </c>
      <c r="C36" s="35">
        <f>'Revenue '!E339-'Revenue '!E338</f>
        <v>0</v>
      </c>
      <c r="D36" s="35">
        <f>C36+D35</f>
        <v>0</v>
      </c>
      <c r="E36" s="62">
        <f>B36*D36</f>
        <v>0</v>
      </c>
    </row>
    <row r="37" spans="1:5" x14ac:dyDescent="0.2">
      <c r="A37" s="4">
        <f>A28</f>
        <v>2025</v>
      </c>
      <c r="B37" s="21">
        <f>IF('Baseline Inputs'!$E$241 = 0, B36,'Baseline Inputs'!$E$241)</f>
        <v>86.735680507961163</v>
      </c>
      <c r="C37" s="35">
        <f>'Revenue '!E340-'Revenue '!E339</f>
        <v>0</v>
      </c>
      <c r="D37" s="35">
        <f>C37+D36</f>
        <v>0</v>
      </c>
      <c r="E37" s="62">
        <f>B37*D37</f>
        <v>0</v>
      </c>
    </row>
    <row r="38" spans="1:5" x14ac:dyDescent="0.2">
      <c r="A38" s="4">
        <f>A29</f>
        <v>2026</v>
      </c>
      <c r="B38" s="21">
        <f>IF('Baseline Inputs'!$F$241 = 0, B37,'Baseline Inputs'!$F$241)</f>
        <v>86.735680507961163</v>
      </c>
      <c r="C38" s="35">
        <f>'Revenue '!E341-'Revenue '!E340</f>
        <v>0</v>
      </c>
      <c r="D38" s="35">
        <f>C38+D37</f>
        <v>0</v>
      </c>
      <c r="E38" s="62">
        <f>B38*D38</f>
        <v>0</v>
      </c>
    </row>
    <row r="40" spans="1:5" x14ac:dyDescent="0.2">
      <c r="B40" s="162">
        <f>'Revenue '!F326</f>
        <v>0</v>
      </c>
    </row>
    <row r="41" spans="1:5" ht="38.25" x14ac:dyDescent="0.2">
      <c r="A41" s="4" t="str">
        <f>A32</f>
        <v>Year</v>
      </c>
      <c r="B41" s="51" t="s">
        <v>234</v>
      </c>
      <c r="C41" s="75" t="s">
        <v>123</v>
      </c>
      <c r="D41" s="51" t="s">
        <v>235</v>
      </c>
      <c r="E41" s="51" t="s">
        <v>236</v>
      </c>
    </row>
    <row r="42" spans="1:5" x14ac:dyDescent="0.2">
      <c r="A42" s="4"/>
    </row>
    <row r="43" spans="1:5" x14ac:dyDescent="0.2">
      <c r="A43" s="4">
        <f>A34</f>
        <v>2022</v>
      </c>
      <c r="B43" s="62">
        <f>'Baseline Inputs'!B242</f>
        <v>0</v>
      </c>
      <c r="C43" s="35">
        <f>'Revenue '!F337</f>
        <v>0</v>
      </c>
      <c r="D43" s="35">
        <f>C43</f>
        <v>0</v>
      </c>
      <c r="E43" s="62">
        <f>B43*D43</f>
        <v>0</v>
      </c>
    </row>
    <row r="44" spans="1:5" x14ac:dyDescent="0.2">
      <c r="A44" s="4">
        <f>A35</f>
        <v>2023</v>
      </c>
      <c r="B44" s="21">
        <f>IF('Baseline Inputs'!$C$242 = 0,B43, 'Baseline Inputs'!$C$242)</f>
        <v>0</v>
      </c>
      <c r="C44" s="35">
        <f>'Revenue '!F338-'Revenue '!F337</f>
        <v>0</v>
      </c>
      <c r="D44" s="35">
        <f>C44+D43</f>
        <v>0</v>
      </c>
      <c r="E44" s="62">
        <f>B44*D44</f>
        <v>0</v>
      </c>
    </row>
    <row r="45" spans="1:5" x14ac:dyDescent="0.2">
      <c r="A45" s="4">
        <f>A36</f>
        <v>2024</v>
      </c>
      <c r="B45" s="21">
        <f>IF('Baseline Inputs'!$D$242 = 0,B44, 'Baseline Inputs'!$D$242)</f>
        <v>0</v>
      </c>
      <c r="C45" s="35">
        <f>'Revenue '!F339-'Revenue '!F338</f>
        <v>0</v>
      </c>
      <c r="D45" s="35">
        <f>C45+D44</f>
        <v>0</v>
      </c>
      <c r="E45" s="62">
        <f>B45*D45</f>
        <v>0</v>
      </c>
    </row>
    <row r="46" spans="1:5" x14ac:dyDescent="0.2">
      <c r="A46" s="4">
        <f>A37</f>
        <v>2025</v>
      </c>
      <c r="B46" s="21">
        <f>IF('Baseline Inputs'!$E$242 = 0,B45, 'Baseline Inputs'!$E$242)</f>
        <v>0</v>
      </c>
      <c r="C46" s="35">
        <f>'Revenue '!F340-'Revenue '!F339</f>
        <v>0</v>
      </c>
      <c r="D46" s="35">
        <f>C46+D45</f>
        <v>0</v>
      </c>
      <c r="E46" s="62">
        <f>B46*D46</f>
        <v>0</v>
      </c>
    </row>
    <row r="47" spans="1:5" x14ac:dyDescent="0.2">
      <c r="A47" s="4">
        <f>A38</f>
        <v>2026</v>
      </c>
      <c r="B47" s="21">
        <f>IF('Baseline Inputs'!$F$242 = 0,B46, 'Baseline Inputs'!$F$242)</f>
        <v>0</v>
      </c>
      <c r="C47" s="35">
        <f>'Revenue '!F341-'Revenue '!F340</f>
        <v>0</v>
      </c>
      <c r="D47" s="35">
        <f>C47+D46</f>
        <v>0</v>
      </c>
      <c r="E47" s="62">
        <f>B47*D47</f>
        <v>0</v>
      </c>
    </row>
    <row r="49" spans="1:5" x14ac:dyDescent="0.2">
      <c r="B49" s="162">
        <f>'Revenue '!G326</f>
        <v>0</v>
      </c>
    </row>
    <row r="50" spans="1:5" ht="38.25" x14ac:dyDescent="0.2">
      <c r="A50" s="4" t="str">
        <f>A41</f>
        <v>Year</v>
      </c>
      <c r="B50" s="51" t="s">
        <v>234</v>
      </c>
      <c r="C50" s="75" t="s">
        <v>123</v>
      </c>
      <c r="D50" s="51" t="s">
        <v>235</v>
      </c>
      <c r="E50" s="51" t="s">
        <v>236</v>
      </c>
    </row>
    <row r="51" spans="1:5" x14ac:dyDescent="0.2">
      <c r="A51" s="4"/>
    </row>
    <row r="52" spans="1:5" x14ac:dyDescent="0.2">
      <c r="A52" s="4">
        <f>A43</f>
        <v>2022</v>
      </c>
      <c r="B52" s="62">
        <f>'Baseline Inputs'!B243</f>
        <v>0</v>
      </c>
      <c r="C52" s="35">
        <f>'Revenue '!G337</f>
        <v>0</v>
      </c>
      <c r="D52" s="35">
        <f>C52</f>
        <v>0</v>
      </c>
      <c r="E52" s="62">
        <f>B52*D52</f>
        <v>0</v>
      </c>
    </row>
    <row r="53" spans="1:5" x14ac:dyDescent="0.2">
      <c r="A53" s="4">
        <f>A44</f>
        <v>2023</v>
      </c>
      <c r="B53" s="21">
        <f>IF('Baseline Inputs'!$C$243 = 0,B52, 'Baseline Inputs'!$C$243)</f>
        <v>0</v>
      </c>
      <c r="C53" s="35">
        <f>'Revenue '!G338-'Revenue '!G337</f>
        <v>0</v>
      </c>
      <c r="D53" s="35">
        <f>C53+D52</f>
        <v>0</v>
      </c>
      <c r="E53" s="62">
        <f>B53*D53</f>
        <v>0</v>
      </c>
    </row>
    <row r="54" spans="1:5" x14ac:dyDescent="0.2">
      <c r="A54" s="4">
        <f>A45</f>
        <v>2024</v>
      </c>
      <c r="B54" s="21">
        <f>IF('Baseline Inputs'!$D$243 = 0,B53, 'Baseline Inputs'!$D$243)</f>
        <v>0</v>
      </c>
      <c r="C54" s="35">
        <f>'Revenue '!G339-'Revenue '!G338</f>
        <v>0</v>
      </c>
      <c r="D54" s="35">
        <f>C54+D53</f>
        <v>0</v>
      </c>
      <c r="E54" s="62">
        <f>B54*D54</f>
        <v>0</v>
      </c>
    </row>
    <row r="55" spans="1:5" x14ac:dyDescent="0.2">
      <c r="A55" s="4">
        <f>A46</f>
        <v>2025</v>
      </c>
      <c r="B55" s="21">
        <f>IF('Baseline Inputs'!$E$243 = 0,B54, 'Baseline Inputs'!$E$243)</f>
        <v>0</v>
      </c>
      <c r="C55" s="35">
        <f>'Revenue '!G340-'Revenue '!G339</f>
        <v>0</v>
      </c>
      <c r="D55" s="35">
        <f>C55+D54</f>
        <v>0</v>
      </c>
      <c r="E55" s="62">
        <f>B55*D55</f>
        <v>0</v>
      </c>
    </row>
    <row r="56" spans="1:5" x14ac:dyDescent="0.2">
      <c r="A56" s="4">
        <f>A47</f>
        <v>2026</v>
      </c>
      <c r="B56" s="21">
        <f>IF('Baseline Inputs'!$F$243 = 0,B55, 'Baseline Inputs'!$F$243)</f>
        <v>0</v>
      </c>
      <c r="C56" s="35">
        <f>'Revenue '!G341-'Revenue '!G340</f>
        <v>0</v>
      </c>
      <c r="D56" s="35">
        <f>C56+D55</f>
        <v>0</v>
      </c>
      <c r="E56" s="62">
        <f>B56*D56</f>
        <v>0</v>
      </c>
    </row>
    <row r="58" spans="1:5" x14ac:dyDescent="0.2">
      <c r="B58" s="162">
        <f>'Revenue '!H326</f>
        <v>0</v>
      </c>
    </row>
    <row r="59" spans="1:5" ht="38.25" x14ac:dyDescent="0.2">
      <c r="A59" s="4" t="str">
        <f>A50</f>
        <v>Year</v>
      </c>
      <c r="B59" s="51" t="s">
        <v>234</v>
      </c>
      <c r="C59" s="75" t="s">
        <v>123</v>
      </c>
      <c r="D59" s="51" t="s">
        <v>235</v>
      </c>
      <c r="E59" s="51" t="s">
        <v>236</v>
      </c>
    </row>
    <row r="60" spans="1:5" x14ac:dyDescent="0.2">
      <c r="A60" s="4"/>
    </row>
    <row r="61" spans="1:5" x14ac:dyDescent="0.2">
      <c r="A61" s="4">
        <f>A52</f>
        <v>2022</v>
      </c>
      <c r="B61" s="62">
        <f>'Baseline Inputs'!B244</f>
        <v>0</v>
      </c>
      <c r="C61" s="35">
        <f>'Revenue '!H337</f>
        <v>0</v>
      </c>
      <c r="D61" s="35">
        <f>C61</f>
        <v>0</v>
      </c>
      <c r="E61" s="62">
        <f>B61*D61</f>
        <v>0</v>
      </c>
    </row>
    <row r="62" spans="1:5" x14ac:dyDescent="0.2">
      <c r="A62" s="4">
        <f>A53</f>
        <v>2023</v>
      </c>
      <c r="B62" s="21">
        <f>IF('Baseline Inputs'!$C$244 = 0,B61, 'Baseline Inputs'!$C$244)</f>
        <v>0</v>
      </c>
      <c r="C62" s="35">
        <f>'Revenue '!H338-'Revenue '!H337</f>
        <v>0</v>
      </c>
      <c r="D62" s="35">
        <f>C62+D61</f>
        <v>0</v>
      </c>
      <c r="E62" s="62">
        <f>B62*D62</f>
        <v>0</v>
      </c>
    </row>
    <row r="63" spans="1:5" x14ac:dyDescent="0.2">
      <c r="A63" s="4">
        <f>A54</f>
        <v>2024</v>
      </c>
      <c r="B63" s="21">
        <f>IF('Baseline Inputs'!$D$244 = 0,B62, 'Baseline Inputs'!$D$244)</f>
        <v>0</v>
      </c>
      <c r="C63" s="35">
        <f>'Revenue '!H339-'Revenue '!H338</f>
        <v>0</v>
      </c>
      <c r="D63" s="35">
        <f>C63+D62</f>
        <v>0</v>
      </c>
      <c r="E63" s="62">
        <f>B63*D63</f>
        <v>0</v>
      </c>
    </row>
    <row r="64" spans="1:5" x14ac:dyDescent="0.2">
      <c r="A64" s="4">
        <f>A55</f>
        <v>2025</v>
      </c>
      <c r="B64" s="21">
        <f>IF('Baseline Inputs'!$E$244 = 0,B63, 'Baseline Inputs'!$E$244)</f>
        <v>0</v>
      </c>
      <c r="C64" s="35">
        <f>'Revenue '!H340-'Revenue '!H339</f>
        <v>0</v>
      </c>
      <c r="D64" s="35">
        <f>C64+D63</f>
        <v>0</v>
      </c>
      <c r="E64" s="62">
        <f>B64*D64</f>
        <v>0</v>
      </c>
    </row>
    <row r="65" spans="1:5" x14ac:dyDescent="0.2">
      <c r="A65" s="4">
        <f>A56</f>
        <v>2026</v>
      </c>
      <c r="B65" s="21">
        <f>IF('Baseline Inputs'!$F$244 = 0,B64, 'Baseline Inputs'!$F$244)</f>
        <v>0</v>
      </c>
      <c r="C65" s="35">
        <f>'Revenue '!H341-'Revenue '!H340</f>
        <v>0</v>
      </c>
      <c r="D65" s="35">
        <f>C65+D64</f>
        <v>0</v>
      </c>
      <c r="E65" s="62">
        <f>B65*D65</f>
        <v>0</v>
      </c>
    </row>
    <row r="67" spans="1:5" x14ac:dyDescent="0.2">
      <c r="B67" s="162">
        <f>'Revenue '!I326</f>
        <v>0</v>
      </c>
    </row>
    <row r="68" spans="1:5" ht="38.25" x14ac:dyDescent="0.2">
      <c r="A68" s="4" t="str">
        <f>A59</f>
        <v>Year</v>
      </c>
      <c r="B68" s="51" t="s">
        <v>234</v>
      </c>
      <c r="C68" s="75" t="s">
        <v>123</v>
      </c>
      <c r="D68" s="51" t="s">
        <v>235</v>
      </c>
      <c r="E68" s="51" t="s">
        <v>236</v>
      </c>
    </row>
    <row r="69" spans="1:5" x14ac:dyDescent="0.2">
      <c r="A69" s="4"/>
    </row>
    <row r="70" spans="1:5" x14ac:dyDescent="0.2">
      <c r="A70" s="4">
        <f>A61</f>
        <v>2022</v>
      </c>
      <c r="B70" s="62">
        <f>'Baseline Inputs'!B245</f>
        <v>0</v>
      </c>
      <c r="C70" s="35">
        <f>'Revenue '!I337</f>
        <v>0</v>
      </c>
      <c r="D70" s="35">
        <f>C70</f>
        <v>0</v>
      </c>
      <c r="E70" s="62">
        <f>B70*D70</f>
        <v>0</v>
      </c>
    </row>
    <row r="71" spans="1:5" x14ac:dyDescent="0.2">
      <c r="A71" s="4">
        <f>A62</f>
        <v>2023</v>
      </c>
      <c r="B71" s="21">
        <f>IF('Baseline Inputs'!$C$245 = 0,B70, 'Baseline Inputs'!$C$245)</f>
        <v>0</v>
      </c>
      <c r="C71" s="35">
        <f>'Revenue '!I338-'Revenue '!I337</f>
        <v>0</v>
      </c>
      <c r="D71" s="35">
        <f>C71+D70</f>
        <v>0</v>
      </c>
      <c r="E71" s="62">
        <f>B71*D71</f>
        <v>0</v>
      </c>
    </row>
    <row r="72" spans="1:5" x14ac:dyDescent="0.2">
      <c r="A72" s="4">
        <f>A63</f>
        <v>2024</v>
      </c>
      <c r="B72" s="21">
        <f>IF('Baseline Inputs'!$D$245 = 0,B71, 'Baseline Inputs'!$D$245)</f>
        <v>0</v>
      </c>
      <c r="C72" s="35">
        <f>'Revenue '!I339-'Revenue '!I338</f>
        <v>0</v>
      </c>
      <c r="D72" s="35">
        <f>C72+D71</f>
        <v>0</v>
      </c>
      <c r="E72" s="62">
        <f>B72*D72</f>
        <v>0</v>
      </c>
    </row>
    <row r="73" spans="1:5" x14ac:dyDescent="0.2">
      <c r="A73" s="4">
        <f>A64</f>
        <v>2025</v>
      </c>
      <c r="B73" s="21">
        <f>IF('Baseline Inputs'!$E$245 = 0,B72, 'Baseline Inputs'!$E$245)</f>
        <v>0</v>
      </c>
      <c r="C73" s="35">
        <f>'Revenue '!I340-'Revenue '!I339</f>
        <v>0</v>
      </c>
      <c r="D73" s="35">
        <f>C73+D72</f>
        <v>0</v>
      </c>
      <c r="E73" s="62">
        <f>B73*D73</f>
        <v>0</v>
      </c>
    </row>
    <row r="74" spans="1:5" x14ac:dyDescent="0.2">
      <c r="A74" s="4">
        <f>A65</f>
        <v>2026</v>
      </c>
      <c r="B74" s="21">
        <f>IF('Baseline Inputs'!$F$245 = 0,B73, 'Baseline Inputs'!$F$245)</f>
        <v>0</v>
      </c>
      <c r="C74" s="35">
        <f>'Revenue '!I341-'Revenue '!I340</f>
        <v>0</v>
      </c>
      <c r="D74" s="35">
        <f>C74+D73</f>
        <v>0</v>
      </c>
      <c r="E74" s="62">
        <f>B74*D74</f>
        <v>0</v>
      </c>
    </row>
    <row r="76" spans="1:5" x14ac:dyDescent="0.2">
      <c r="B76" s="162">
        <f>'Revenue '!J326</f>
        <v>0</v>
      </c>
    </row>
    <row r="77" spans="1:5" ht="38.25" x14ac:dyDescent="0.2">
      <c r="A77" s="4" t="str">
        <f>A68</f>
        <v>Year</v>
      </c>
      <c r="B77" s="51" t="s">
        <v>234</v>
      </c>
      <c r="C77" s="75" t="s">
        <v>123</v>
      </c>
      <c r="D77" s="51" t="s">
        <v>235</v>
      </c>
      <c r="E77" s="51" t="s">
        <v>236</v>
      </c>
    </row>
    <row r="78" spans="1:5" x14ac:dyDescent="0.2">
      <c r="A78" s="4"/>
    </row>
    <row r="79" spans="1:5" x14ac:dyDescent="0.2">
      <c r="A79" s="4">
        <f>A70</f>
        <v>2022</v>
      </c>
      <c r="B79" s="62">
        <f>'Baseline Inputs'!B246</f>
        <v>0</v>
      </c>
      <c r="C79" s="35">
        <f>'Revenue '!J337</f>
        <v>0</v>
      </c>
      <c r="D79" s="35">
        <f>C79</f>
        <v>0</v>
      </c>
      <c r="E79" s="62">
        <f>B79*D79</f>
        <v>0</v>
      </c>
    </row>
    <row r="80" spans="1:5" x14ac:dyDescent="0.2">
      <c r="A80" s="4">
        <f>A71</f>
        <v>2023</v>
      </c>
      <c r="B80" s="21">
        <f>IF('Baseline Inputs'!$C$246 = 0,B79, 'Baseline Inputs'!$C$246)</f>
        <v>0</v>
      </c>
      <c r="C80" s="35">
        <f>'Revenue '!J338-'Revenue '!J337</f>
        <v>0</v>
      </c>
      <c r="D80" s="35">
        <f>C80+D79</f>
        <v>0</v>
      </c>
      <c r="E80" s="62">
        <f>B80*D80</f>
        <v>0</v>
      </c>
    </row>
    <row r="81" spans="1:5" x14ac:dyDescent="0.2">
      <c r="A81" s="4">
        <f>A72</f>
        <v>2024</v>
      </c>
      <c r="B81" s="21">
        <f>IF('Baseline Inputs'!$D$246 = 0,B80, 'Baseline Inputs'!$D$246)</f>
        <v>0</v>
      </c>
      <c r="C81" s="35">
        <f>'Revenue '!J339-'Revenue '!J338</f>
        <v>0</v>
      </c>
      <c r="D81" s="35">
        <f>C81+D80</f>
        <v>0</v>
      </c>
      <c r="E81" s="62">
        <f>B81*D81</f>
        <v>0</v>
      </c>
    </row>
    <row r="82" spans="1:5" x14ac:dyDescent="0.2">
      <c r="A82" s="4">
        <f>A73</f>
        <v>2025</v>
      </c>
      <c r="B82" s="21">
        <f>IF('Baseline Inputs'!$E$246 = 0,B81, 'Baseline Inputs'!$E$246)</f>
        <v>0</v>
      </c>
      <c r="C82" s="35">
        <f>'Revenue '!J340-'Revenue '!J339</f>
        <v>0</v>
      </c>
      <c r="D82" s="35">
        <f>C82+D81</f>
        <v>0</v>
      </c>
      <c r="E82" s="62">
        <f>B82*D82</f>
        <v>0</v>
      </c>
    </row>
    <row r="83" spans="1:5" x14ac:dyDescent="0.2">
      <c r="A83" s="4">
        <f>A74</f>
        <v>2026</v>
      </c>
      <c r="B83" s="21">
        <f>IF('Baseline Inputs'!$F$246 = 0,B82, 'Baseline Inputs'!$F$246)</f>
        <v>0</v>
      </c>
      <c r="C83" s="35">
        <f>'Revenue '!J341-'Revenue '!J340</f>
        <v>0</v>
      </c>
      <c r="D83" s="35">
        <f>C83+D82</f>
        <v>0</v>
      </c>
      <c r="E83" s="62">
        <f>B83*D83</f>
        <v>0</v>
      </c>
    </row>
    <row r="85" spans="1:5" x14ac:dyDescent="0.2">
      <c r="B85" s="162">
        <f>'Revenue '!K326</f>
        <v>0</v>
      </c>
    </row>
    <row r="86" spans="1:5" ht="38.25" x14ac:dyDescent="0.2">
      <c r="A86" s="4" t="str">
        <f>A77</f>
        <v>Year</v>
      </c>
      <c r="B86" s="51" t="s">
        <v>234</v>
      </c>
      <c r="C86" s="75" t="s">
        <v>123</v>
      </c>
      <c r="D86" s="51" t="s">
        <v>235</v>
      </c>
      <c r="E86" s="51" t="s">
        <v>236</v>
      </c>
    </row>
    <row r="87" spans="1:5" x14ac:dyDescent="0.2">
      <c r="A87" s="4"/>
    </row>
    <row r="88" spans="1:5" x14ac:dyDescent="0.2">
      <c r="A88" s="4">
        <f>A79</f>
        <v>2022</v>
      </c>
      <c r="B88" s="62">
        <f>'Baseline Inputs'!B247</f>
        <v>0</v>
      </c>
      <c r="C88" s="35">
        <f>'Revenue '!K337</f>
        <v>0</v>
      </c>
      <c r="D88" s="35">
        <f>C88</f>
        <v>0</v>
      </c>
      <c r="E88" s="62">
        <f>B88*D88</f>
        <v>0</v>
      </c>
    </row>
    <row r="89" spans="1:5" x14ac:dyDescent="0.2">
      <c r="A89" s="4">
        <f>A80</f>
        <v>2023</v>
      </c>
      <c r="B89" s="21">
        <f>IF('Baseline Inputs'!$C$247 = 0,B88, 'Baseline Inputs'!$C$247)</f>
        <v>0</v>
      </c>
      <c r="C89" s="35">
        <f>'Revenue '!K338-'Revenue '!K337</f>
        <v>0</v>
      </c>
      <c r="D89" s="35">
        <f>C89+D88</f>
        <v>0</v>
      </c>
      <c r="E89" s="62">
        <f>B89*D89</f>
        <v>0</v>
      </c>
    </row>
    <row r="90" spans="1:5" x14ac:dyDescent="0.2">
      <c r="A90" s="4">
        <f>A81</f>
        <v>2024</v>
      </c>
      <c r="B90" s="21">
        <f>IF('Baseline Inputs'!$D$247 = 0,B89, 'Baseline Inputs'!$D$247)</f>
        <v>0</v>
      </c>
      <c r="C90" s="35">
        <f>'Revenue '!K339-'Revenue '!K338</f>
        <v>0</v>
      </c>
      <c r="D90" s="35">
        <f>C90+D89</f>
        <v>0</v>
      </c>
      <c r="E90" s="62">
        <f>B90*D90</f>
        <v>0</v>
      </c>
    </row>
    <row r="91" spans="1:5" x14ac:dyDescent="0.2">
      <c r="A91" s="4">
        <f>A82</f>
        <v>2025</v>
      </c>
      <c r="B91" s="21">
        <f>IF('Baseline Inputs'!$E$247 = 0,B90, 'Baseline Inputs'!$E$247)</f>
        <v>0</v>
      </c>
      <c r="C91" s="35">
        <f>'Revenue '!K340-'Revenue '!K339</f>
        <v>0</v>
      </c>
      <c r="D91" s="35">
        <f>C91+D90</f>
        <v>0</v>
      </c>
      <c r="E91" s="62">
        <f>B91*D91</f>
        <v>0</v>
      </c>
    </row>
    <row r="92" spans="1:5" x14ac:dyDescent="0.2">
      <c r="A92" s="4">
        <f>A83</f>
        <v>2026</v>
      </c>
      <c r="B92" s="21">
        <f>IF('Baseline Inputs'!$F$247 = 0,B91, 'Baseline Inputs'!$F$247)</f>
        <v>0</v>
      </c>
      <c r="C92" s="35">
        <f>'Revenue '!K341-'Revenue '!K340</f>
        <v>0</v>
      </c>
      <c r="D92" s="35">
        <f>C92+D91</f>
        <v>0</v>
      </c>
      <c r="E92" s="62">
        <f>B92*D92</f>
        <v>0</v>
      </c>
    </row>
    <row r="94" spans="1:5" x14ac:dyDescent="0.2">
      <c r="B94" s="121" t="s">
        <v>265</v>
      </c>
    </row>
    <row r="95" spans="1:5" ht="38.25" x14ac:dyDescent="0.2">
      <c r="A95" s="121" t="str">
        <f>A86</f>
        <v>Year</v>
      </c>
      <c r="B95" s="149"/>
      <c r="C95" s="149" t="s">
        <v>123</v>
      </c>
      <c r="D95" s="149" t="s">
        <v>235</v>
      </c>
      <c r="E95" s="149" t="s">
        <v>236</v>
      </c>
    </row>
    <row r="96" spans="1:5" x14ac:dyDescent="0.2">
      <c r="A96" s="11"/>
      <c r="B96" s="121"/>
      <c r="C96" s="121"/>
      <c r="D96" s="121"/>
      <c r="E96" s="121"/>
    </row>
    <row r="97" spans="1:5" x14ac:dyDescent="0.2">
      <c r="A97" s="11">
        <f>A88</f>
        <v>2022</v>
      </c>
      <c r="B97" s="121"/>
      <c r="C97" s="162">
        <f t="shared" ref="C97:E101" si="0">C7+C16+C25+C34+C43+C52+C61+C70+C79+C88</f>
        <v>8</v>
      </c>
      <c r="D97" s="162">
        <f t="shared" si="0"/>
        <v>8</v>
      </c>
      <c r="E97" s="243">
        <f t="shared" si="0"/>
        <v>2031.0449767876057</v>
      </c>
    </row>
    <row r="98" spans="1:5" x14ac:dyDescent="0.2">
      <c r="A98" s="11">
        <f>A89</f>
        <v>2023</v>
      </c>
      <c r="B98" s="121"/>
      <c r="C98" s="162">
        <f t="shared" si="0"/>
        <v>2</v>
      </c>
      <c r="D98" s="162">
        <f t="shared" si="0"/>
        <v>10</v>
      </c>
      <c r="E98" s="243">
        <f t="shared" si="0"/>
        <v>2538.806220984507</v>
      </c>
    </row>
    <row r="99" spans="1:5" x14ac:dyDescent="0.2">
      <c r="A99" s="11">
        <f>A90</f>
        <v>2024</v>
      </c>
      <c r="B99" s="121"/>
      <c r="C99" s="162">
        <f t="shared" si="0"/>
        <v>0</v>
      </c>
      <c r="D99" s="162">
        <f t="shared" si="0"/>
        <v>10</v>
      </c>
      <c r="E99" s="243">
        <f t="shared" si="0"/>
        <v>2538.806220984507</v>
      </c>
    </row>
    <row r="100" spans="1:5" x14ac:dyDescent="0.2">
      <c r="A100" s="11">
        <f>A91</f>
        <v>2025</v>
      </c>
      <c r="B100" s="121"/>
      <c r="C100" s="162">
        <f t="shared" si="0"/>
        <v>0</v>
      </c>
      <c r="D100" s="162">
        <f t="shared" si="0"/>
        <v>10</v>
      </c>
      <c r="E100" s="243">
        <f t="shared" si="0"/>
        <v>2538.806220984507</v>
      </c>
    </row>
    <row r="101" spans="1:5" x14ac:dyDescent="0.2">
      <c r="A101" s="11">
        <f>A92</f>
        <v>2026</v>
      </c>
      <c r="B101" s="121"/>
      <c r="C101" s="162">
        <f t="shared" si="0"/>
        <v>0</v>
      </c>
      <c r="D101" s="162">
        <f t="shared" si="0"/>
        <v>10</v>
      </c>
      <c r="E101" s="243">
        <f t="shared" si="0"/>
        <v>2538.806220984507</v>
      </c>
    </row>
  </sheetData>
  <phoneticPr fontId="0" type="noConversion"/>
  <pageMargins left="0.75" right="0.75" top="1" bottom="1" header="0.5" footer="0.5"/>
  <pageSetup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Table of Contents</vt:lpstr>
      <vt:lpstr>Assumptions</vt:lpstr>
      <vt:lpstr>Engineering Inputs</vt:lpstr>
      <vt:lpstr>Baseline Inputs</vt:lpstr>
      <vt:lpstr>Developer Summary</vt:lpstr>
      <vt:lpstr>OTC Summary</vt:lpstr>
      <vt:lpstr>Project Summary</vt:lpstr>
      <vt:lpstr>Revenue </vt:lpstr>
      <vt:lpstr>OMADI</vt:lpstr>
      <vt:lpstr>Municipal Tax</vt:lpstr>
      <vt:lpstr>CCA &amp; Cap Tax</vt:lpstr>
      <vt:lpstr>Dep'n &amp; Int</vt:lpstr>
      <vt:lpstr>Income Tax &amp; CCA Tax Shield</vt:lpstr>
      <vt:lpstr>Expansion Deposit</vt:lpstr>
      <vt:lpstr>NPV Cash Flow Anal</vt:lpstr>
      <vt:lpstr>Mid Year PV Factor</vt:lpstr>
      <vt:lpstr>Contribution CCA &amp; Cap Tax</vt:lpstr>
      <vt:lpstr>Assumptions!Print_Area</vt:lpstr>
      <vt:lpstr>'Developer Summary'!Print_Area</vt:lpstr>
      <vt:lpstr>'NPV Cash Flow Anal'!Print_Area</vt:lpstr>
      <vt:lpstr>'Project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Costello</dc:creator>
  <cp:lastModifiedBy>Spencer Silvestro</cp:lastModifiedBy>
  <cp:lastPrinted>2022-03-22T18:59:38Z</cp:lastPrinted>
  <dcterms:created xsi:type="dcterms:W3CDTF">1999-11-17T14:05:11Z</dcterms:created>
  <dcterms:modified xsi:type="dcterms:W3CDTF">2024-01-31T19:46:42Z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